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azek\Documents\LUBOS 2025\Kontrolní listy\3-2025\BOZP - aktualizace\"/>
    </mc:Choice>
  </mc:AlternateContent>
  <xr:revisionPtr revIDLastSave="0" documentId="8_{6964EC80-455B-442C-929D-B86C068DC16B}" xr6:coauthVersionLast="47" xr6:coauthVersionMax="47" xr10:uidLastSave="{00000000-0000-0000-0000-000000000000}"/>
  <bookViews>
    <workbookView xWindow="-110" yWindow="-110" windowWidth="19420" windowHeight="10300" xr2:uid="{614574E9-C9F8-4C5C-BD5B-9102B9F875D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1" i="1" l="1"/>
  <c r="B1570" i="1"/>
  <c r="B1569" i="1"/>
  <c r="B1568" i="1"/>
  <c r="B1561" i="1"/>
  <c r="B1557" i="1"/>
  <c r="B1556" i="1"/>
  <c r="B1555" i="1"/>
  <c r="B1554" i="1"/>
  <c r="B1539" i="1"/>
  <c r="B1538" i="1"/>
  <c r="B1537" i="1"/>
  <c r="B1536" i="1"/>
  <c r="B1529" i="1"/>
  <c r="B1528" i="1"/>
  <c r="B1527" i="1"/>
  <c r="B1526" i="1"/>
  <c r="B1522" i="1"/>
  <c r="B1521" i="1"/>
  <c r="B1519" i="1"/>
  <c r="B1518" i="1"/>
  <c r="B1492" i="1"/>
  <c r="B1491" i="1"/>
  <c r="B1424" i="1"/>
  <c r="B1423" i="1"/>
  <c r="B1419" i="1"/>
  <c r="B1418" i="1"/>
  <c r="B1414" i="1"/>
  <c r="B1413" i="1"/>
  <c r="B1411" i="1"/>
  <c r="B1409" i="1"/>
  <c r="B1408" i="1"/>
  <c r="B1397" i="1"/>
  <c r="B1396" i="1"/>
  <c r="B1393" i="1"/>
  <c r="B1392" i="1"/>
  <c r="B1391" i="1"/>
  <c r="B1389" i="1"/>
  <c r="B1388" i="1"/>
  <c r="B1386" i="1"/>
  <c r="B1385" i="1"/>
  <c r="B1381" i="1"/>
  <c r="B1380" i="1"/>
  <c r="B1379" i="1"/>
  <c r="B1370" i="1"/>
  <c r="B1369" i="1"/>
  <c r="B1365" i="1"/>
  <c r="B1364" i="1"/>
  <c r="B1362" i="1"/>
  <c r="B1360" i="1"/>
  <c r="B1359" i="1"/>
  <c r="B1354" i="1"/>
  <c r="B1353" i="1"/>
  <c r="B1352" i="1"/>
  <c r="B1351" i="1"/>
  <c r="B1349" i="1"/>
  <c r="B1348" i="1"/>
  <c r="B1346" i="1"/>
  <c r="B1345" i="1"/>
  <c r="B1344" i="1"/>
  <c r="B1343" i="1"/>
  <c r="B1339" i="1"/>
  <c r="B1338" i="1"/>
  <c r="B1335" i="1"/>
  <c r="B1334" i="1"/>
  <c r="B1333" i="1"/>
  <c r="B1332" i="1"/>
  <c r="B1329" i="1"/>
  <c r="B1328" i="1"/>
  <c r="B1327" i="1"/>
  <c r="B1324" i="1"/>
  <c r="B1323" i="1"/>
  <c r="B1322" i="1"/>
  <c r="B1321" i="1"/>
  <c r="B1269" i="1"/>
  <c r="B1268" i="1"/>
  <c r="B1267" i="1"/>
  <c r="B1264" i="1"/>
  <c r="B1263" i="1"/>
  <c r="B1262" i="1"/>
  <c r="B1248" i="1"/>
  <c r="B1247" i="1"/>
  <c r="B1246" i="1"/>
  <c r="B1241" i="1"/>
  <c r="B1240" i="1"/>
  <c r="B1239" i="1"/>
  <c r="B1238" i="1"/>
  <c r="B1237" i="1"/>
  <c r="B1232" i="1"/>
  <c r="B1231" i="1"/>
  <c r="B1230" i="1"/>
  <c r="B1227" i="1"/>
  <c r="B1226" i="1"/>
  <c r="B1225" i="1"/>
  <c r="B1223" i="1"/>
  <c r="B1222" i="1"/>
  <c r="B1214" i="1"/>
  <c r="B1213" i="1"/>
  <c r="B1211" i="1"/>
  <c r="B1210" i="1"/>
  <c r="B1206" i="1"/>
  <c r="B1205" i="1"/>
  <c r="B1204" i="1"/>
  <c r="B1202" i="1"/>
  <c r="B1201" i="1"/>
  <c r="B1200" i="1"/>
  <c r="B1199" i="1"/>
  <c r="B1197" i="1"/>
  <c r="B1196" i="1"/>
  <c r="B1195" i="1"/>
  <c r="B1194" i="1"/>
  <c r="B1185" i="1"/>
  <c r="B1184" i="1"/>
  <c r="B1175" i="1"/>
  <c r="B1174" i="1"/>
  <c r="B1172" i="1"/>
  <c r="B1171" i="1"/>
  <c r="B1170" i="1"/>
  <c r="B1169" i="1"/>
  <c r="B1167" i="1"/>
  <c r="B1166" i="1"/>
  <c r="B1165" i="1"/>
  <c r="B1163" i="1"/>
  <c r="B1162" i="1"/>
  <c r="B1161" i="1"/>
  <c r="B1159" i="1"/>
  <c r="B1158" i="1"/>
  <c r="B1157" i="1"/>
  <c r="B1156" i="1"/>
  <c r="B1154" i="1"/>
  <c r="B1153" i="1"/>
  <c r="B1152" i="1"/>
  <c r="B1149" i="1"/>
  <c r="B1148" i="1"/>
  <c r="B1147" i="1"/>
  <c r="B1146" i="1"/>
  <c r="B1144" i="1"/>
  <c r="B1143" i="1"/>
  <c r="B1142" i="1"/>
  <c r="B1140" i="1"/>
  <c r="B1139" i="1"/>
  <c r="B1138" i="1"/>
  <c r="B1125" i="1"/>
  <c r="B1124" i="1"/>
  <c r="B1123" i="1"/>
  <c r="B1122" i="1"/>
  <c r="B1120" i="1"/>
  <c r="B1119" i="1"/>
  <c r="B1118" i="1"/>
  <c r="B1117" i="1"/>
  <c r="B1115" i="1"/>
  <c r="B1114" i="1"/>
  <c r="B1109" i="1"/>
  <c r="B1108" i="1"/>
  <c r="B1107" i="1"/>
  <c r="B1104" i="1"/>
  <c r="B1103" i="1"/>
  <c r="B1083" i="1"/>
  <c r="B1082" i="1"/>
  <c r="B1081" i="1"/>
  <c r="B1080" i="1"/>
  <c r="B1074" i="1"/>
  <c r="B1073" i="1"/>
  <c r="B1069" i="1"/>
  <c r="B1068" i="1"/>
  <c r="B1067" i="1"/>
  <c r="B1055" i="1"/>
  <c r="B1054" i="1"/>
  <c r="B1053" i="1"/>
  <c r="B1052" i="1"/>
  <c r="B1051" i="1"/>
  <c r="B1050" i="1"/>
  <c r="B1045" i="1"/>
  <c r="B1044" i="1"/>
  <c r="B1043" i="1"/>
  <c r="B1042" i="1"/>
  <c r="B1040" i="1"/>
  <c r="B1039" i="1"/>
  <c r="B1038" i="1"/>
  <c r="B1036" i="1"/>
  <c r="B1035" i="1"/>
  <c r="B1034" i="1"/>
  <c r="B1032" i="1"/>
  <c r="B1031" i="1"/>
  <c r="B1030" i="1"/>
  <c r="B1026" i="1"/>
  <c r="B1025" i="1"/>
  <c r="B1024" i="1"/>
  <c r="B1021" i="1"/>
  <c r="B1020" i="1"/>
  <c r="B1004" i="1"/>
  <c r="B1003" i="1"/>
  <c r="B1002" i="1"/>
  <c r="B1000" i="1"/>
  <c r="B999" i="1"/>
  <c r="B998" i="1"/>
  <c r="B981" i="1"/>
  <c r="B980" i="1"/>
  <c r="B977" i="1"/>
  <c r="B976" i="1"/>
  <c r="B975" i="1"/>
  <c r="B972" i="1"/>
  <c r="B971" i="1"/>
  <c r="B970" i="1"/>
  <c r="B958" i="1"/>
  <c r="B957" i="1"/>
  <c r="B956" i="1"/>
  <c r="B949" i="1"/>
  <c r="B948" i="1"/>
  <c r="B947" i="1"/>
  <c r="B946" i="1"/>
  <c r="B943" i="1"/>
  <c r="B942" i="1"/>
  <c r="B941" i="1"/>
  <c r="B940" i="1"/>
  <c r="C928" i="1"/>
  <c r="C927" i="1"/>
  <c r="C926" i="1"/>
  <c r="C925" i="1"/>
  <c r="C899" i="1"/>
  <c r="C898" i="1"/>
  <c r="C897" i="1"/>
  <c r="C895" i="1"/>
  <c r="C892" i="1"/>
  <c r="C888" i="1"/>
  <c r="C887" i="1"/>
  <c r="C886" i="1"/>
  <c r="C881" i="1"/>
  <c r="C880" i="1"/>
  <c r="C879" i="1"/>
  <c r="C876" i="1"/>
  <c r="C875" i="1"/>
  <c r="C874" i="1"/>
  <c r="C870" i="1"/>
  <c r="C869" i="1"/>
  <c r="C868" i="1"/>
  <c r="C866" i="1"/>
  <c r="C865" i="1"/>
  <c r="C864" i="1"/>
  <c r="C855" i="1"/>
  <c r="C854" i="1"/>
  <c r="C850" i="1"/>
  <c r="C849" i="1"/>
  <c r="C847" i="1"/>
  <c r="C846" i="1"/>
  <c r="C844" i="1"/>
  <c r="C843" i="1"/>
  <c r="C838" i="1"/>
  <c r="C837" i="1"/>
  <c r="C835" i="1"/>
  <c r="C834" i="1"/>
  <c r="C832" i="1"/>
  <c r="C831" i="1"/>
  <c r="C828" i="1"/>
  <c r="C827" i="1"/>
  <c r="C823" i="1"/>
  <c r="C822" i="1"/>
  <c r="C819" i="1"/>
  <c r="C818" i="1"/>
  <c r="C816" i="1"/>
  <c r="C815" i="1"/>
  <c r="B750" i="1"/>
  <c r="B721" i="1"/>
  <c r="B720" i="1"/>
  <c r="B719" i="1"/>
  <c r="B718" i="1"/>
  <c r="B710" i="1"/>
  <c r="B708" i="1"/>
  <c r="B707" i="1"/>
  <c r="B705" i="1"/>
  <c r="B704" i="1"/>
  <c r="B702" i="1"/>
  <c r="B679" i="1"/>
  <c r="B678" i="1"/>
  <c r="B677" i="1"/>
  <c r="B669" i="1"/>
  <c r="B665" i="1"/>
  <c r="B664" i="1"/>
  <c r="B663" i="1"/>
  <c r="B662" i="1"/>
  <c r="B660" i="1"/>
  <c r="B659" i="1"/>
  <c r="B658" i="1"/>
  <c r="B656" i="1"/>
  <c r="B655" i="1"/>
  <c r="B652" i="1"/>
  <c r="B651" i="1"/>
  <c r="B650" i="1"/>
  <c r="B647" i="1"/>
  <c r="B639" i="1"/>
  <c r="B638" i="1"/>
  <c r="B635" i="1"/>
  <c r="B632" i="1"/>
  <c r="B630" i="1"/>
  <c r="B627" i="1"/>
  <c r="B610" i="1"/>
  <c r="B609" i="1"/>
  <c r="B607" i="1"/>
  <c r="B605" i="1"/>
  <c r="B604" i="1"/>
  <c r="B602" i="1"/>
  <c r="B601" i="1"/>
  <c r="B599" i="1"/>
  <c r="B598" i="1"/>
  <c r="B597" i="1"/>
  <c r="B594" i="1"/>
  <c r="B581" i="1"/>
  <c r="B559" i="1"/>
  <c r="B557" i="1"/>
  <c r="B556" i="1"/>
  <c r="B555" i="1"/>
  <c r="B553" i="1"/>
  <c r="B552" i="1"/>
  <c r="B551" i="1"/>
  <c r="B548" i="1"/>
  <c r="B547" i="1"/>
  <c r="B546" i="1"/>
  <c r="B543" i="1"/>
  <c r="B540" i="1"/>
  <c r="B539" i="1"/>
  <c r="B513" i="1"/>
  <c r="B512" i="1"/>
  <c r="B506" i="1"/>
  <c r="B502" i="1"/>
  <c r="B500" i="1"/>
  <c r="B492" i="1"/>
  <c r="B482" i="1"/>
  <c r="B480" i="1"/>
  <c r="B449" i="1"/>
  <c r="B448" i="1"/>
  <c r="B446" i="1"/>
  <c r="B445" i="1"/>
  <c r="B442" i="1"/>
  <c r="B441" i="1"/>
  <c r="B439" i="1"/>
  <c r="B438" i="1"/>
  <c r="B434" i="1"/>
  <c r="B420" i="1"/>
  <c r="B419" i="1"/>
  <c r="B392" i="1"/>
  <c r="B390" i="1"/>
  <c r="B367" i="1"/>
  <c r="B259" i="1"/>
  <c r="B187" i="1"/>
  <c r="B186" i="1"/>
  <c r="B185" i="1"/>
  <c r="B184" i="1"/>
  <c r="B183" i="1"/>
  <c r="B181" i="1"/>
  <c r="B180" i="1"/>
  <c r="B179" i="1"/>
  <c r="B178" i="1"/>
  <c r="B172" i="1"/>
  <c r="B171" i="1"/>
  <c r="B169" i="1"/>
  <c r="B152" i="1"/>
  <c r="B148" i="1"/>
  <c r="B147" i="1"/>
  <c r="B145" i="1"/>
  <c r="B143" i="1"/>
  <c r="B142" i="1"/>
  <c r="B140" i="1"/>
  <c r="B135" i="1"/>
  <c r="B133" i="1"/>
  <c r="B131" i="1"/>
  <c r="B130" i="1"/>
  <c r="B129" i="1"/>
  <c r="B122" i="1"/>
  <c r="B120" i="1"/>
  <c r="B118" i="1"/>
  <c r="B113" i="1"/>
  <c r="B95" i="1"/>
  <c r="B94" i="1"/>
</calcChain>
</file>

<file path=xl/sharedStrings.xml><?xml version="1.0" encoding="utf-8"?>
<sst xmlns="http://schemas.openxmlformats.org/spreadsheetml/2006/main" count="1689" uniqueCount="1458">
  <si>
    <t>NAŘÍZENÍ VLÁDY č. 276/2015 Sb.</t>
  </si>
  <si>
    <t>ze dne 12. října 2015</t>
  </si>
  <si>
    <t>o odškodňování bolesti a ztížení společenského uplatnění způsobené pracovním úrazem nebo nemocí z povolání</t>
  </si>
  <si>
    <t>Vláda nařizuje podle § 271c odst. 2 zákona č. 262/2006 Sb., zákoník práce, ve znění zákona č. 205/2015 Sb.:</t>
  </si>
  <si>
    <r>
      <rPr>
        <sz val="12"/>
        <rFont val="Times New Roman"/>
        <family val="1"/>
        <charset val="238"/>
      </rPr>
      <t>ve znění nařízení vlády č. 224/2016 Sb., č. 451/2022 Sb</t>
    </r>
    <r>
      <rPr>
        <b/>
        <sz val="12"/>
        <rFont val="Times New Roman"/>
        <family val="1"/>
        <charset val="238"/>
      </rPr>
      <t xml:space="preserve"> a 428/2025 Sb. </t>
    </r>
  </si>
  <si>
    <t>Bolest a ztížení společenského uplatnění a náhrada za bolest a ztížení společenského uplatnění</t>
  </si>
  <si>
    <t>§ 1</t>
  </si>
  <si>
    <t>(1) Bolestí se pro účely tohoto nařízení rozumí tělesné a duševní strádání způsobené</t>
  </si>
  <si>
    <t>a) poškozením zdraví pracovním úrazem nebo nemocí z povolání, včetně stresu, obtíží a psychických symptomů obvykle doprovázejících poškození zdraví, a</t>
  </si>
  <si>
    <t>b) léčením a odstraňováním následků poškození zdraví, včetně komplikací vzniklých v přímé příčinné souvislosti s pracovním úrazem nebo nemocí z povolání.</t>
  </si>
  <si>
    <t>(2) Ztížením společenského uplatnění se pro účely tohoto nařízení rozumí trvalý nepříznivý vliv poškození zdraví (dále jen „trvalé poškození zdraví“) pracovním úrazem nebo nemocí z povolání a jeho trvalých následků a psychosociálních dopadů, které omezují nebo mění společenské uplatnění poškozeného v životě, zejména při uspokojování životních, pracovních, vzdělávacích a sociálních potřeb.</t>
  </si>
  <si>
    <t>§ 2</t>
  </si>
  <si>
    <t>(1) Bolest a ztížení společenského uplatnění se hodnotí v bodech. Počty bodů pro ohodnocení</t>
  </si>
  <si>
    <t>a) bolesti pro jednotlivá poškození zdraví způsobená</t>
  </si>
  <si>
    <t>1. pracovním úrazem jsou uvedeny v příloze č. 1 k tomuto nařízení a</t>
  </si>
  <si>
    <t>2. nemocí z povolání jsou uvedeny v příloze č. 2 k tomuto nařízení,</t>
  </si>
  <si>
    <t>b) ztížení společenského uplatnění v oblasti životních, pracovních, vzdělávacích a sociálních potřeb způsobené</t>
  </si>
  <si>
    <t>1. pracovním úrazem jsou uvedeny v příloze č. 3 k tomuto nařízení a</t>
  </si>
  <si>
    <t>2. nemocí z povolání jsou uvedeny v příloze č. 4 k tomuto nařízení.</t>
  </si>
  <si>
    <t>(2) Bodové ohodnocení bolesti se uvede v lékařském posudku o ohodnocení bolesti a bodové ohodnocení ztížení společenského uplatnění se uvede v lékařském posudku o ohodnocení ztížení společenského uplatnění.</t>
  </si>
  <si>
    <t>§ 3</t>
  </si>
  <si>
    <t>(1) Hodnota bodu činí 1 % průměrné mzdy v národním hospodářství zjištěné na základě údajů Českého statistického úřadu za první až třetí čtvrtletí kalendářního roku předcházejícího kalendářnímu roku, v němž vznikla povinnost provést hodnocení bolesti a ztížení společenského uplatnění.</t>
  </si>
  <si>
    <t>(2) Náhrada za bolest a ztížení společenského uplatnění se stanoví tak, že bodové ohodnocení bolesti nebo ztížení společenského uplatnění se násobí hodnotou bodu v korunách českých.</t>
  </si>
  <si>
    <t>§ 4</t>
  </si>
  <si>
    <t>(1) U poškození zdraví pracovním úrazem nebo nemocí z povolání, které není uvedeno v příloze č. 1 nebo 2 k tomuto nařízení, se bodové ohodnocení bolesti určí podle počtu bodů poškození zdraví uvedeného v příloze č. 1 nebo 2 k tomuto nařízení, které je s ním povahou, rozsahem, tíží a dopadem na bolest nejvíce srovnatelné.</t>
  </si>
  <si>
    <t>(2) U poškození zdraví pracovním úrazem nebo nemocí z povolání, které není uvedeno v příloze č. 3 nebo 4 k tomuto nařízení, se bodové ohodnocení ztížení společenského uplatnění určí podle počtu bodů poškození zdraví uvedeného v příloze č. 3 nebo 4 k tomuto nařízení, které je s ním povahou, rozsahem, prognózou poškození zdraví, anatomickými a funkčními omezeními a jejich dopadem na uspokojování životních, pracovních, vzdělávacích a sociálních potřeb poškozeného a jeho další uplatnění v životě nejvíce srovnatelné.</t>
  </si>
  <si>
    <t>(3) Pokud pracovní úraz nebo nemoc z povolání způsobily více poškození zdraví, bolest se hodnotí pro každé poškození zdraví zvlášť a bodové ohodnocení bolesti jednotlivých poškození zdraví se sčítá.</t>
  </si>
  <si>
    <t>(4) Pokud pracovní úraz nebo nemoc z povolání způsobily více poškození zdraví, hodnotí se ztížení společenského uplatnění pro každé poškození zdraví zvlášť a bodové ohodnocení jednotlivých poškození zdraví se sčítá.</t>
  </si>
  <si>
    <t>(5) Bodové ohodnocení ztížení společenského uplatnění způsobeného pracovním úrazem nebo nemocí z povolání stanovené pro jednotlivá poškození zdraví se sníží, pokud před vznikem poškození zdraví již existovalo ztížení společenského uplatnění způsobené změnami zdravotního stavu nesouvisejícími s poškozením zdraví pracovním úrazem nebo nemocí z povolání, a to o 10 %, pokud předchozí změny byly lehkého rozsahu, o 20 %, pokud předchozí změny byly středního rozsahu, a o 30 %, pokud předchozí změny byly těžkého rozsahu.</t>
  </si>
  <si>
    <t>Způsob bodového ohodnocení bolesti pro určení výše náhrady za bolest</t>
  </si>
  <si>
    <t>§ 5</t>
  </si>
  <si>
    <t>(1) Bodové ohodnocení bolesti se provádí v době, kdy je zdravotní stav ustálený. Určení bodového ohodnocení bolesti musí být přiměřené povaze, rozsahu a tíži poškození zdraví způsobeného pracovním úrazem nebo nemocí z povolání, průběhu a náročnosti léčení a odstraňování následků poškození zdraví, včetně komplikací vzniklých v přímé příčinné souvislosti s pracovním úrazem nebo nemocí z povolání.</t>
  </si>
  <si>
    <t>(2) Pokud jsou počty bodů v příloze č. 1 nebo 2 k tomuto nařízení uvedeny v rozmezí, určí se počet bodů bodového ohodnocení bolesti u poškození zdraví pracovním úrazem nebo nemocí z povolání s přihlédnutím k rozsahu a tíži poškození zdraví, průběhu a náročnosti léčení.</t>
  </si>
  <si>
    <t>(3) Počet bodů bodového ohodnocení bolesti způsobené několikanásobným poškozením zdraví téhož orgánu nebo části těla nesmí za období do dosažení ustáleného zdravotního stavu převýšit počet bodů</t>
  </si>
  <si>
    <t>a) za anatomickou nebo funkční ztrátu orgánu nebo části těla, nebo</t>
  </si>
  <si>
    <t>b) za poškození zdraví příslušného orgánu nebo části těla s nejvyšším bodovým ohodnocením bolesti.</t>
  </si>
  <si>
    <t>(4) Bodové ohodnocení bolesti vzniklé v souvislosti s operací zlomenin kostí nebo operací u jiných systémů nebo orgánů se hodnotí jako otevřená rána podle položky přílohy č. 1 k tomuto nařízení. Bolest vzniklá v souvislosti s každou další operací se hodnotí jako nově vzniklá bolest.</t>
  </si>
  <si>
    <t>(5) Bodové ohodnocení bolesti způsobené drtivým poraněním, které vede do 24 hodin od pracovního úrazu ke ztrátě orgánu nebo části těla, se provádí jen jedenkrát, a to podle položky týkající se takového orgánu nebo části těla přílohy č. 1 k tomuto nařízení s nejvyšším počtem bodů.</t>
  </si>
  <si>
    <t>§ 6</t>
  </si>
  <si>
    <t>(1) Bodové ohodnocení bolesti jednotlivých poškození zdraví pracovním úrazem nebo nemocí z povolání se zvýší, jestliže v příčinné souvislosti s poškozením zdraví došlo</t>
  </si>
  <si>
    <t>a) ke komplikacím, kterými se rozumí zejména infekce rány, zánět žil, trombóza, embolie, zánět plic a proleženina; s ohledem na rozsah a tíži komplikací se bodové ohodnocení při lehkých komplikacích zvýší nejvýše o 10 %, při středně těžkých komplikacích nejvýše o 30 % a při těžkých celkových komplikacích ohrožujících život nejvýše o 50 % bodového ohodnocení odpovídajícího poškození příslušného orgánu nebo orgánů anebo části těla nebo více částí těla,</t>
  </si>
  <si>
    <t>b) k náročnému způsobu léčení, kterým se rozumí zejména dlouhodobá umělá plicní ventilace, dlouhodobá peritoneální dialýza, opakované hemodialýzy a opakované převazy rozsáhlých popálenin; bodové ohodnocení se zvýší nejvýše o 50 % bodového ohodnocení odpovídajícího poškození zdraví příslušného orgánu nebo části těla.</t>
  </si>
  <si>
    <t>(2) Další bolest vzniklá po ohodnocení bolesti podle § 4, popřípadě podle odstavce 1, se hodnotí a odškodňuje jako nová bolest.</t>
  </si>
  <si>
    <t>§ 7</t>
  </si>
  <si>
    <t>Způsob bodového ohodnocení ztížení společenského uplatnění pro určení výše náhrady za ztížení společenského uplatnění</t>
  </si>
  <si>
    <t>(1) Bodové ohodnocení ztížení společenského uplatnění se provádí zpravidla až rok poté, kdy došlo k poškození zdraví pracovním úrazem nebo nemocí z povolání a je zřejmé, že jde o trvalé poškození zdraví a podle poznatků lékařské vědy dalším léčením, popřípadě léčebně rehabilitační péčí, nedojde ke zlepšení nebo stabilizaci zdravotního stavu.</t>
  </si>
  <si>
    <t>(2) Bodové ohodnocení ztížení společenského uplatnění se určí se zřetelem k povaze, rozsahu, prognóze poškození zdraví, anatomickým a funkčním omezením a jejich dopadu na uspokojování životních, pracovních, vzdělávacích a sociálních potřeb poškozeného a jeho další uplatnění v životě.</t>
  </si>
  <si>
    <t>(3) Pokud bylo již dříve ohodnoceno ztížení společenského uplatnění a poté nastalo zhoršení trvalých následků poškození zdraví, provede se nové ohodnocení ztížení společenského uplatnění.</t>
  </si>
  <si>
    <t>(4) Při stanovení výše náhrady za ztížení společenského uplatnění v případě podle odstavce 3 se z nově určeného bodového ohodnocení ztížení společenského uplatnění odečte výše bodového ohodnocení dříve přiznaná prostým odečtem.</t>
  </si>
  <si>
    <t>Lékařský posudek</t>
  </si>
  <si>
    <t>§ 8</t>
  </si>
  <si>
    <t>(1) Lékařský posudek o ohodnocení bolesti nebo lékařský posudek o ztížení společenského uplatnění, jde-li o</t>
  </si>
  <si>
    <t>a) pracovní úraz, vydává</t>
  </si>
  <si>
    <t>1. poskytovatel zdravotních služeb, který poškozenému poskytoval zdravotní služby v souvislosti s pracovním úrazem pouze v jednom oboru specializované způsobilosti nebo zvláštní odborné způsobilosti; posuzujícím lékařem je ošetřující lékař příslušné specializované způsobilosti nebo zvláštní odborné způsobilosti,</t>
  </si>
  <si>
    <t>2. registrující poskytovatel zdravotních služeb v oboru všeobecné praktické lékařství nebo v oboru praktické lékařství pro děti a dorost (dále jen „registrující poskytovatel“), pokud poškozenému pro daný pracovní úraz poskytovalo zdravotní služby více poskytovatelů zdravotních služeb; posuzujícím lékařem je lékař v oboru všeobecné praktické lékařství nebo v oboru praktické lékařství pro děti a dorost, nebo</t>
  </si>
  <si>
    <t>3. poskytovatel zdravotních služeb, který poskytoval poškozenému zdravotní služby naposledy, nemá-li poškozený registrujícího poskytovatele zdravotních služeb a pokud poškozenému pro daný pracovní úraz poskytovalo zdravotní služby více poskytovatelů zdravotních služeb; posuzujícím lékařem je ošetřující lékař příslušné specializované způsobilosti nebo zvláštní odborné způsobilosti,</t>
  </si>
  <si>
    <t>b) nemoc z povolání, vydává poskytovatel zdravotních služeb oprávněný k vydání lékařského posudku o uznání nemoci z povolání podle zákona upravujícího posudkovou péči1).</t>
  </si>
  <si>
    <t>(2) Při posuzování bolesti nebo ztížení společenského uplatnění poškozeného se vychází</t>
  </si>
  <si>
    <t>a) z lékařských zpráv a nálezů poskytovatelů zdravotních služeb, kteří se podíleli na léčení poškození zdraví a jeho následků, a</t>
  </si>
  <si>
    <t>b) pokud je to pro posouzení potřebné,</t>
  </si>
  <si>
    <t>1. z výpisu ze zdravotnické dokumentace vedené o poškozeném registrujícím poskytovatelem zdravotních služeb,</t>
  </si>
  <si>
    <t>2. z výsledku lékařské prohlídky provedené posuzujícím lékařem, nebo</t>
  </si>
  <si>
    <t>3. z výsledků aktuálně provedených odborných vyšetření vyžádaných posuzujícím lékařem.</t>
  </si>
  <si>
    <t>§ 9</t>
  </si>
  <si>
    <t>V lékařském posudku o ohodnocení bolesti nebo ztížení společenského uplatnění vedle náležitostí stanovených právním předpisem upravujícím obsah a náležitosti zdravotnické dokumentace2) se vždy uvede</t>
  </si>
  <si>
    <t>a) datum, kdy došlo k pracovnímu úrazu, nebo datum, kdy byla nemoc z povolání zjištěna, a poškození zdraví pracovním úrazem nebo nemocí z povolání, jehož se hodnocení týká; v případě nemoci z povolání se uvede označení příslušné kapitoly a položky seznamu nemocí z povolání podle nařízení vlády stanovícím seznam nemocí z povolání3),</t>
  </si>
  <si>
    <t>b) ustanovení tohoto nařízení a položky příloh k tomuto nařízení, podle kterých bylo bodové ohodnocení provedeno,</t>
  </si>
  <si>
    <t>c) postup, kterým posuzující lékař dospěl k bodovému ohodnocení,</t>
  </si>
  <si>
    <t>d) bodové ohodnocení bolesti nebo ztížení společenského uplatnění,</t>
  </si>
  <si>
    <t>e) odůvodnění případného zvýšení bodového ohodnocení podle § 6 odst. 1.</t>
  </si>
  <si>
    <t>§ 10</t>
  </si>
  <si>
    <t>Přechodné ustanovení</t>
  </si>
  <si>
    <t>Byla-li bolest nebo ztížení společenského uplatnění způsobena přede dnem nabytí účinnosti tohoto nařízení a nebyl-li přede dnem nabytí účinnosti tohoto nařízení vydán lékařský posudek k odškodnění bolesti nebo ztížení společenského uplatnění, stanoví se náhrada za bolest nebo náhrada za ztížení společenského uplatnění podle tohoto nařízení.</t>
  </si>
  <si>
    <t>§ 11</t>
  </si>
  <si>
    <t>Účinnost</t>
  </si>
  <si>
    <t>Toto nařízení nabývá účinnosti dnem jeho vyhlášení.</t>
  </si>
  <si>
    <t>Přechodné ustanovení zavedeno nařízením vlády č. 224/2016 Sb. Čl. II</t>
  </si>
  <si>
    <t>Pokud byly bolest nebo ztížení společenského uplatnění způsobeny přede dnem nabytí účinnosti tohoto nařízení, stanoví se náhrada za bolest nebo náhrada za ztížení společenského uplatnění podle nařízení vlády č. 276/2015 Sb., ve znění účinném přede dnem nabytí účinnosti tohoto nařízení.</t>
  </si>
  <si>
    <t>Přechodné ustanovení zavedeno nařízením vlády č. 451/2022 Sb. Čl. II</t>
  </si>
  <si>
    <t>Pokud byly bolest nebo ztížení společenského uplatnění způsobeny v důsledku pracovního úrazu nebo nemoci z povolání přede dnem nabytí účinnosti tohoto nařízení a nebylo-li přede dnem nabytí účinnosti tohoto nařízení rozhodnuto o stanovení náhrady za bolest nebo náhrady za ztížení společenského uplatnění, stanoví se náhrada za bolest nebo náhrada za ztížení společenského uplatnění podle nařízení vlády č. 276/2015 Sb., ve znění účinném ode dne nabytí účinnosti tohoto nařízení.</t>
  </si>
  <si>
    <t>Předseda vlády:</t>
  </si>
  <si>
    <t>Mgr. Sobotka v. r.</t>
  </si>
  <si>
    <t>Ministr zdravotnictví:</t>
  </si>
  <si>
    <t>MUDr. Němeček, MBA, v. r</t>
  </si>
  <si>
    <t>Příloha č. 1 k nařízení vlády č. 276/2015 Sb.</t>
  </si>
  <si>
    <t>Počty bodů pro ohodnocení bolesti pro jednotlivá poškození zdraví způsobená pracovním úrazem</t>
  </si>
  <si>
    <t>Položka</t>
  </si>
  <si>
    <t>Poškození zdraví</t>
  </si>
  <si>
    <t>Počet bodů</t>
  </si>
  <si>
    <t>1.</t>
  </si>
  <si>
    <t>Povrchní a hluboká poranění a kontuze</t>
  </si>
  <si>
    <t>Rána povrchní á 1 cm - kůže</t>
  </si>
  <si>
    <t>Rána povrchní á 1 cm - kůže + podkoží</t>
  </si>
  <si>
    <t>Rána hluboká á 1 cm (zasahující i hlubší měkké tkáně včetně svalstva, případně pronikající ke kosti)</t>
  </si>
  <si>
    <t>připočítat 10 bodů</t>
  </si>
  <si>
    <t>připočítat 20 bodů</t>
  </si>
  <si>
    <t>Rána komplikovaná (tržnězhmožděná, kousnutí, střelná, kontaminovaná apod.) á 1 cm2</t>
  </si>
  <si>
    <t>Ztrátové poranění kůže v celé tloušťce, případně i s podkožím á 1 cm2</t>
  </si>
  <si>
    <t>Poranění sliznic do 10 cm2</t>
  </si>
  <si>
    <t xml:space="preserve"> za každých dalších 10 cm2 připočítat 2 body </t>
  </si>
  <si>
    <t xml:space="preserve"> </t>
  </si>
  <si>
    <t>Rána hluboká či komplikovaná měkkých tkání obličeje, v okolí kloubů nebo genitálu á 1 cm</t>
  </si>
  <si>
    <t>Pohmoždění (kontuze) kůže, podkoží a svalu obličeje, v okolí kloubů nebo okolí genitálu (poškození kůže s podkožím a svalem) podle rozsahu a lokalizace postižené části</t>
  </si>
  <si>
    <t>za jedno pohmožděné místo 10 – 20 bodů</t>
  </si>
  <si>
    <t>Pohmoždění (kontuze) kůže, podkoží a svalu různých jiných částí těla podle rozsahu a lokalizace postižené části</t>
  </si>
  <si>
    <t>za jedno pohmožděné místo 5 – 20 bodů</t>
  </si>
  <si>
    <t>Decollement podle rozsahu (oddělení kůže s částí podkoží od fascie s ránou i bez rány do 100 cm2</t>
  </si>
  <si>
    <t>- nad 100 cm2</t>
  </si>
  <si>
    <t>Skalpace (odtržení kůže s vlasy od galey aponeuroticky) přesahující polovinu obvodu</t>
  </si>
  <si>
    <t>Oděrky povrchní i hluboké (do ztráty kůže) do 100 cm2</t>
  </si>
  <si>
    <t>2–4</t>
  </si>
  <si>
    <t xml:space="preserve"> za každých dalších 100 cm2připočítat 2 body u oděrek povrchových a 4 body u oděrek hlubokých</t>
  </si>
  <si>
    <t>Oděrky obličeje, genitálu, okolí končetinových kloubů do 10 cm2</t>
  </si>
  <si>
    <t>3 za každých dalších 10 cm2 připočíst 3 body</t>
  </si>
  <si>
    <t>2.</t>
  </si>
  <si>
    <t>Poranění hlavy</t>
  </si>
  <si>
    <t>Rána očního víčka a periokulární krajiny</t>
  </si>
  <si>
    <t xml:space="preserve"> - s porušením okraje víčka a tarsální ploténky</t>
  </si>
  <si>
    <t>Drtivé poranění obličeje podle rozsahu poškození</t>
  </si>
  <si>
    <t>400-600</t>
  </si>
  <si>
    <t>Drtivé poranění lebky podle rozsahu poškození</t>
  </si>
  <si>
    <t>300-500</t>
  </si>
  <si>
    <t>Odtržení vlasové části v délce přesahující 1/2 obvodu</t>
  </si>
  <si>
    <t>Ztráta ucha - části</t>
  </si>
  <si>
    <t>30-70</t>
  </si>
  <si>
    <t>Ztráta nosu - části</t>
  </si>
  <si>
    <t>40-80</t>
  </si>
  <si>
    <t>Ztráta jazyka - části do poloviny</t>
  </si>
  <si>
    <t>70-100</t>
  </si>
  <si>
    <t>Poranění příušní slinné žlázy</t>
  </si>
  <si>
    <t>Poranění jiné slinné žlázy</t>
  </si>
  <si>
    <t>Ruptura ušního bubínku</t>
  </si>
  <si>
    <t>Poranění vnitřního ucha</t>
  </si>
  <si>
    <t>3.</t>
  </si>
  <si>
    <t>Zlomeniny a vymknutí na hlavě</t>
  </si>
  <si>
    <t>Zlomenina lebeční klenby - fissura</t>
  </si>
  <si>
    <t>Zlomenina lebeční spodiny</t>
  </si>
  <si>
    <t>Zlomenina nosních kostí bez posunu</t>
  </si>
  <si>
    <t>Zlomenina spodiny očnice</t>
  </si>
  <si>
    <t>- s posunem, blow out</t>
  </si>
  <si>
    <t>Zlomeniny horní čelisti LeFort I. - III.</t>
  </si>
  <si>
    <t>50-70</t>
  </si>
  <si>
    <t>Zlomenina procesus zygomaticus bez posunu</t>
  </si>
  <si>
    <t>Ztráta zubu v přední části chrupu</t>
  </si>
  <si>
    <t>Zlomenina dolní čelisti bez posunu</t>
  </si>
  <si>
    <t>- tříštivá, etážová</t>
  </si>
  <si>
    <t>Zlomeniny jiných kostí lebky a obličeje (např. procesus alveolaris)</t>
  </si>
  <si>
    <t>Mnohočetné zlomeniny postihující kosti lebky a obličeje</t>
  </si>
  <si>
    <t>součet bodů příslušných položek z položek 3.1. až 3.22, nejvýše však 450 bodů</t>
  </si>
  <si>
    <t>Vymknutí čelisti -jednostranné</t>
  </si>
  <si>
    <t>Vymknutí chrupavky přepážky nosní</t>
  </si>
  <si>
    <t>Dislokace zubu (uvolnění)</t>
  </si>
  <si>
    <t>Podvrtnutí čelisti</t>
  </si>
  <si>
    <t>4.</t>
  </si>
  <si>
    <t>Poranění mozkových nervů</t>
  </si>
  <si>
    <t>uvedené hodnoty platí pro úplnou poruchu funkce, při částečné poruše se hodnotí polovičním počtem bodů</t>
  </si>
  <si>
    <t>Poranění zrakového nervu</t>
  </si>
  <si>
    <t>Poranění okohybného nervu</t>
  </si>
  <si>
    <t>Poranění kladkového nervu</t>
  </si>
  <si>
    <t>Poranění trojklaného nervu</t>
  </si>
  <si>
    <t>Poranění odtahovacího nervu</t>
  </si>
  <si>
    <t>Poranění lícního nervu</t>
  </si>
  <si>
    <t>Poranění sluchově rovnovážného nervu</t>
  </si>
  <si>
    <t>80-100</t>
  </si>
  <si>
    <t>Poranění postranního smíšeného systému (podjazykového, bloudivého a přídatného nervu)</t>
  </si>
  <si>
    <t>Poranění jiných mozkových nervů (čichového, jazykověhltanového, bloudivého, přídatného a pojazykového)</t>
  </si>
  <si>
    <t>5.</t>
  </si>
  <si>
    <t>Poranění oka a očnice</t>
  </si>
  <si>
    <t>Poranění spojivky a abraze rohovky bez cizího tělesa</t>
  </si>
  <si>
    <t>Pohmoždění očního bulbu a tkání očnice</t>
  </si>
  <si>
    <t>- s porušením duhovky (iridorhexis, iridodialysis)</t>
  </si>
  <si>
    <t>Roztržení oka s výhřezem nebo ztrátou nitrooční tkáně</t>
  </si>
  <si>
    <t>Roztržení oka bez výhřezu nebo ztráty nitrooční tkáně</t>
  </si>
  <si>
    <t>Pronikající rána očnice bez cizího tělesa</t>
  </si>
  <si>
    <t>Pronikající rána očnice s cizím tělesem</t>
  </si>
  <si>
    <t>Pronikající rána očního bulbu s cizím tělesem pronikajícím bělimou</t>
  </si>
  <si>
    <t>Pronikající rána očního bulbu bez cizího tělesa pronikající bělimou</t>
  </si>
  <si>
    <t>Avulze - vytržení - oka</t>
  </si>
  <si>
    <t>Jiná poranění oka a očnice - ophtalmia photoelectrica</t>
  </si>
  <si>
    <t>Cizí tělísko zaseknuté do rohovky</t>
  </si>
  <si>
    <t>Popálení obou víček II. - III. stupně</t>
  </si>
  <si>
    <t>Popálení nebo poleptání epitelu rohovky</t>
  </si>
  <si>
    <t>Popálení stromatu rohovky ohněm nebo kyselinou</t>
  </si>
  <si>
    <t>Poleptání stromatu rohovky alkálií (vápno, čpavek)</t>
  </si>
  <si>
    <t>Poleptání rohovky vedoucí k její perforaci</t>
  </si>
  <si>
    <t>Poúrazový a sekundární glaukom</t>
  </si>
  <si>
    <t>Poúrazový vřed rohovky</t>
  </si>
  <si>
    <t>Poúrazová (pooperační) endophtalmitis</t>
  </si>
  <si>
    <t>6.</t>
  </si>
  <si>
    <t>Nitrolební poranění</t>
  </si>
  <si>
    <t>Otřes mozku lehký</t>
  </si>
  <si>
    <t>Otřes mozku těžký</t>
  </si>
  <si>
    <t>Otok (edém) mozku</t>
  </si>
  <si>
    <t>Difúzní axonální poranění mozku - lehké reverzibilní (GCS 15)</t>
  </si>
  <si>
    <t>Difúzní axonální poranění mozku - středně těžké (GCS 8-14)</t>
  </si>
  <si>
    <t>Difúzní axonální poranění mozku - těžké (GCS nižší než 8)</t>
  </si>
  <si>
    <t>Ložiskové poranění mozku (pohmoždění) podle rozsahu ložiska</t>
  </si>
  <si>
    <t>150-180</t>
  </si>
  <si>
    <t>Epidurální krvácení</t>
  </si>
  <si>
    <t>Subdurální krvácení</t>
  </si>
  <si>
    <t>Subarachnoidální krvácení</t>
  </si>
  <si>
    <t>Jiná nitrolební poranění (např. krvácení do komor)</t>
  </si>
  <si>
    <t>7.</t>
  </si>
  <si>
    <t>Poranění krku</t>
  </si>
  <si>
    <t>Pronikající rána postihující hrtan</t>
  </si>
  <si>
    <t>Pohmoždění hrtanu</t>
  </si>
  <si>
    <t>Pronikající rána postihující průdušnici nebo tracheostomie</t>
  </si>
  <si>
    <t>Pohmoždění průdušnice</t>
  </si>
  <si>
    <t>Pronikající rána postihující štítnou žlázu</t>
  </si>
  <si>
    <t>Pohmoždění štítné žlázy</t>
  </si>
  <si>
    <t>Pronikající rána postihující hltan</t>
  </si>
  <si>
    <t>Pohmoždění hltanu</t>
  </si>
  <si>
    <t>Pronikající rána krční části jícnu</t>
  </si>
  <si>
    <t>Pohmoždění krční části jícnu</t>
  </si>
  <si>
    <t>Zlomenina jiných částí krku (jazylka, krční žebro)</t>
  </si>
  <si>
    <t>Zlomenina chrupavek hrtanu, krční trachey</t>
  </si>
  <si>
    <t>Poranění svalu a šlachy v úrovni krku</t>
  </si>
  <si>
    <t>Pohmoždění krajiny krční páteře těžšího stupně</t>
  </si>
  <si>
    <t>Poranění pažní pleteně podle rozsahu</t>
  </si>
  <si>
    <t>200 - 300</t>
  </si>
  <si>
    <t>Poranění nervus laryngeus recurrens</t>
  </si>
  <si>
    <t>Poranění ostatních periferních nervů krku</t>
  </si>
  <si>
    <t>Poranění krčních sympatických nervů</t>
  </si>
  <si>
    <t>Poranění krevních cév v úrovni krku</t>
  </si>
  <si>
    <t>Poranění krční tepny společné, zevní, vnitřní</t>
  </si>
  <si>
    <t>100-150</t>
  </si>
  <si>
    <t>Poranění vertebrální tepny</t>
  </si>
  <si>
    <t>Poranění zevní hrdelní žíly</t>
  </si>
  <si>
    <t>Poranění vnitřní hrdelní žíly</t>
  </si>
  <si>
    <t>Poranění jiných krevních cév v úrovni krku</t>
  </si>
  <si>
    <t>Mnohočetné poranění krevních cév v úrovni krku</t>
  </si>
  <si>
    <t>součet bodů příslušných položek z položek 7.19 až 7.23 nejvýše však 200 bodů</t>
  </si>
  <si>
    <t>Poranění krční páteře</t>
  </si>
  <si>
    <t>Zlomenina výběžku krčního obratle (trnový, příčný)</t>
  </si>
  <si>
    <t>Zlomeniny více než jednoho výběžku krčních obratlů (trnový, příčný)</t>
  </si>
  <si>
    <t>za každý další zlomený výběžek připočítat 10 bodů</t>
  </si>
  <si>
    <t>Zlomenina kloubního výběžku krčního obratle -jednoho</t>
  </si>
  <si>
    <t>Zlomenina kloubního výběžku krčního obratle - obou</t>
  </si>
  <si>
    <t>Zlomenina oblouku 1. nebo 2. krčního obratle bez posunu</t>
  </si>
  <si>
    <t>Zlomenina oblouku 1. nebo 2. krčního obratle s posunem</t>
  </si>
  <si>
    <t>Zlomenina oblouku 3.-7. krčního obratle bez posunu</t>
  </si>
  <si>
    <t>Zlomenina zubu 2. obratle (epistrophei) bez posunu</t>
  </si>
  <si>
    <t>Zlomenina zubu 2. obratle (epistrophei) s posunem</t>
  </si>
  <si>
    <t>Zlomenina těla 1. krčního obratle bez posun</t>
  </si>
  <si>
    <t>Zlomenina těla 1. krčního obratle s posunem</t>
  </si>
  <si>
    <t>Zlomenina těla 2. krčního obratle bez posunu</t>
  </si>
  <si>
    <t>Zlomenina těla 2. krčního obratle s posunem</t>
  </si>
  <si>
    <t>Zlomenina těla krčního obratle C 3 - 7 bez posunu</t>
  </si>
  <si>
    <t>Zlomenina těla krčního obratle C 3 - 7 kompresivní se snížením těla obratle méně než o 1/3</t>
  </si>
  <si>
    <t>Zlomenina těla krčního obratle C 3 -7 s posunem nebo se snížením těla o více než 1/3</t>
  </si>
  <si>
    <t>Mnohočetné zlomeniny obratlů krční páteře</t>
  </si>
  <si>
    <t>součet bodů příslušných položek z položek 7.25 až 7.40, nejvýše však 500 bodů</t>
  </si>
  <si>
    <t>Poškození krční meziobratlové ploténky bez herniace</t>
  </si>
  <si>
    <t>Poškození krční meziobratlové ploténky s herniací</t>
  </si>
  <si>
    <t>Vymknutí atlantookcipitální</t>
  </si>
  <si>
    <t>Vymknutí krčního obratle jednostranné bez zlomeniny</t>
  </si>
  <si>
    <t>Podvrtnutí krční páteře</t>
  </si>
  <si>
    <t>Opěrkový syndrom - Whiplash poranění spojené alespoň s jedním z příznaků jako je tinitus, vertigo, hypacuze, dysfágie nebo dysfonie</t>
  </si>
  <si>
    <t>40-70</t>
  </si>
  <si>
    <t>Otřes krční míchy</t>
  </si>
  <si>
    <t>Kontuze krční míchy</t>
  </si>
  <si>
    <t>Transverzální leze krční míchy nad C 3</t>
  </si>
  <si>
    <t>Transverzální leze krční míchy pod C 3</t>
  </si>
  <si>
    <t>Poranění nervového kořene krční míchy (2.-4. kořen) podle rozsahu poškození a počtu poraněných kořenů</t>
  </si>
  <si>
    <t>150-300</t>
  </si>
  <si>
    <t>Poranění nervového kořene krční míchy (5.-7. kořen) podle rozsahu poškození a počtu poraněných kořenů</t>
  </si>
  <si>
    <t>8.</t>
  </si>
  <si>
    <t>Poranění hrudníku</t>
  </si>
  <si>
    <t>Zhmoždění (kontuze) prsu ženy podle rozsahu</t>
  </si>
  <si>
    <t>Ztráta prsu u ženy částečná nebo úplná</t>
  </si>
  <si>
    <t>50-100</t>
  </si>
  <si>
    <t>Ztráta prsu u muže částečná nebo úplná</t>
  </si>
  <si>
    <t>30-80</t>
  </si>
  <si>
    <t>Zlomenina hrudní kosti bez posunu</t>
  </si>
  <si>
    <t>Zlomenina hrudní kosti s posunem</t>
  </si>
  <si>
    <t>Zlomenina žebra bez posunu</t>
  </si>
  <si>
    <t>Zlomenina žebra s posunem</t>
  </si>
  <si>
    <t>Mnohočetné zlomeniny žeber - na každé straně každé další žebro</t>
  </si>
  <si>
    <t>Sériová zlomenina žeber provázená respirační insuficiencí</t>
  </si>
  <si>
    <t>Poranění periferních nervů hrudníku podle rozsahu</t>
  </si>
  <si>
    <t>30-50</t>
  </si>
  <si>
    <t>Poranění hrudních sympatických nervů</t>
  </si>
  <si>
    <t>Poranění hrudní aorty</t>
  </si>
  <si>
    <t>Poranění podklíčkové tepny</t>
  </si>
  <si>
    <t>Poranění horní duté žíly</t>
  </si>
  <si>
    <t>Poranění podklíčkové žíly</t>
  </si>
  <si>
    <t>Poranění plicních krevních cév</t>
  </si>
  <si>
    <t>Poranění mezižeberních krevních cév</t>
  </si>
  <si>
    <t>Mnohočetné poranění krevních cév hrudníku</t>
  </si>
  <si>
    <t>součet bodů příslušných položek z položek 8.12 až 8.17, nejvýše však 450 bodů</t>
  </si>
  <si>
    <t>Poranění ductus thoracicus</t>
  </si>
  <si>
    <t>Tupé poranění srdce bez arytmie,</t>
  </si>
  <si>
    <t>Tupé poranění srdce s arytmií</t>
  </si>
  <si>
    <t>Poranění srdce penetrující bez arytmie</t>
  </si>
  <si>
    <t>Poranění srdce penetrující s arytmií</t>
  </si>
  <si>
    <t>Poranění srdečních chlopní podle rozsahu</t>
  </si>
  <si>
    <t>Pneumotorax j ednostranný</t>
  </si>
  <si>
    <t>Pneumotorax oboustranný</t>
  </si>
  <si>
    <t>Hemotorax jednostranný</t>
  </si>
  <si>
    <t>Hemotorax oboustranný</t>
  </si>
  <si>
    <t>Tenzní pneumotorax</t>
  </si>
  <si>
    <t>Kontuze plic jednostranná podle rozsahu</t>
  </si>
  <si>
    <t>Kontuze plic oboustranná podle rozsahu</t>
  </si>
  <si>
    <t>75-150</t>
  </si>
  <si>
    <t>Lacerace plic jednostranná</t>
  </si>
  <si>
    <t>Lacerace plic oboustranná</t>
  </si>
  <si>
    <t>Poranění průdušky</t>
  </si>
  <si>
    <t>Poranění hrudního jícnu</t>
  </si>
  <si>
    <t>Poranění bránice podle rozsahu</t>
  </si>
  <si>
    <t>Mnohočetná poranění nitrohrudních orgánů nebo drtivé poranění hrudníku</t>
  </si>
  <si>
    <t>součet bodů příslušných položek z položek 8.19 až 8.36, nejvýše však 450 bodů</t>
  </si>
  <si>
    <t>Poranění svalu a šlachy v úrovni hrudníku</t>
  </si>
  <si>
    <t>Poranění hrudní páteře</t>
  </si>
  <si>
    <t>Zlomenina výběžku hrudního obratle (trnový, příčný)</t>
  </si>
  <si>
    <t>Zlomeniny více než jednoho výběžku hrudních obratlů (trnový, příčný)</t>
  </si>
  <si>
    <t>Zlomenina kloubního výběžku hrudního obratle - jednoho</t>
  </si>
  <si>
    <t>Zlomenina kloubního výběžku hrudního obratle - obou</t>
  </si>
  <si>
    <t>Zlomenina oblouku hrudního obratle bez posunu</t>
  </si>
  <si>
    <t>Zlomenina oblouku hrudního obratle s posunem</t>
  </si>
  <si>
    <t>Zlomenina těla hrudního obratle bez posunu</t>
  </si>
  <si>
    <t>Zlomenina těla hrudního obratle s posunem</t>
  </si>
  <si>
    <t>Zlomenina těla hrudního obratle tříštivá</t>
  </si>
  <si>
    <t>Zlomenina těla hrudního obratle kompresivní se snížením těla obratle - méně než o 1/3</t>
  </si>
  <si>
    <t>Zlomenina těla hrudního obratle posunem nebo snížením těla více než o 1/3</t>
  </si>
  <si>
    <t>Mnohočetné zlomeniny obratlů hrudní páteře</t>
  </si>
  <si>
    <t>součet bodů příslušných položek z položek 8.39 až 8.49, nejvýše však 250 bodů</t>
  </si>
  <si>
    <t>Poškození hrudní meziobratlové ploténky bez herniace</t>
  </si>
  <si>
    <t>Poškození hrudní meziobratlové ploténky s herniací</t>
  </si>
  <si>
    <t>Vymknutí hrudního obratle bez poškození míchy nebo jejích kořenů</t>
  </si>
  <si>
    <t>Podvrtnutí hrudní páteře</t>
  </si>
  <si>
    <t>Otřes hrudní míchy</t>
  </si>
  <si>
    <t>Otok hrudní míchy</t>
  </si>
  <si>
    <t>Kontuze hrudní míchy</t>
  </si>
  <si>
    <t>Transverzální leze hrudní míchy</t>
  </si>
  <si>
    <t>Poranění nervového kořene hrudní míchy podle rozsahu a tíže poškození</t>
  </si>
  <si>
    <t>80-110</t>
  </si>
  <si>
    <t>9.</t>
  </si>
  <si>
    <t>Poranění břicha, dolní části zad a pánve</t>
  </si>
  <si>
    <t>Zhmoždění zevních pohlavních orgánů</t>
  </si>
  <si>
    <t>20-50</t>
  </si>
  <si>
    <t>Rána pyje</t>
  </si>
  <si>
    <t>Ztrátové poranění pyje</t>
  </si>
  <si>
    <t>Ztrátové poranění šourku a varlat</t>
  </si>
  <si>
    <t>Rána šourku a varlat</t>
  </si>
  <si>
    <t>Rána pochvy a vulvy</t>
  </si>
  <si>
    <t>Rozdrcení jednoho varlete</t>
  </si>
  <si>
    <t>Rozdrcení obou varlat</t>
  </si>
  <si>
    <t>Zlomenina kosti křížové bez posunu</t>
  </si>
  <si>
    <t>Zlomenina kosti křížové s posunem</t>
  </si>
  <si>
    <t>Zlomenina kostrče</t>
  </si>
  <si>
    <t>Zlomenina kyčelní kosti bez posunu na jedné straně</t>
  </si>
  <si>
    <t>Zlomenina kyčelní kosti bez posunu na obou stranách</t>
  </si>
  <si>
    <t>Zlomenina kyčelní kosti s posunem, tříštivá na jedné straně</t>
  </si>
  <si>
    <t>Zlomenina kyčelní kosti s posunem, tříštivá na obou stranách</t>
  </si>
  <si>
    <t>Zlomenina acetabula jednoduchá (neúplná, úplná bez posunu) na jedné straně</t>
  </si>
  <si>
    <t>Zlomenina acetabula jednoduchá (neúplná, úplná bez posunu) na obou stranách</t>
  </si>
  <si>
    <t>Zlomenina acetabula komplikovaná (s posunem)</t>
  </si>
  <si>
    <t>Zlomenina acetabula na obou stranách</t>
  </si>
  <si>
    <t>Zlomenina kosti stydké (jedno raménko) na jedné straně bez posunu</t>
  </si>
  <si>
    <t>Zlomenina kosti stydké (dvě raménka) na jedné straně bez posunu</t>
  </si>
  <si>
    <t>Zlomenina kosti stydké (jedno raménko) na jedné straně s posunem, tříštivá</t>
  </si>
  <si>
    <t>Zlomenina kosti stydké (dvě raménka) na jedné straně s posunem, tříštivá</t>
  </si>
  <si>
    <t>Vícečetné zlomeniny pánve</t>
  </si>
  <si>
    <t>součet bodů příslušných položek z položek 9.9 až 9.23, nejvýše však 500 bodů</t>
  </si>
  <si>
    <t>Poranění bederních, křížových a pánevních sympatických nervů</t>
  </si>
  <si>
    <t>Poranění periferních nervů břicha, dolní části zad a pánve</t>
  </si>
  <si>
    <t>Poranění jiných a neurčených nervů v úrovni břicha, dolní části zad a pánve</t>
  </si>
  <si>
    <t>Poranění břišní aorty</t>
  </si>
  <si>
    <t>Poranění dolní duté žíly</t>
  </si>
  <si>
    <t>Poranění jiné velké cévy v břiše nebo pánvi</t>
  </si>
  <si>
    <t>Poranění jiných krevních cév v úrovni břicha, dolní části zad a pánve</t>
  </si>
  <si>
    <t>Poranění svalu a šlachy v úrovni břicha, dolní části zad a pánve</t>
  </si>
  <si>
    <t>Mnohočetná poranění krevních cév v úrovni břicha, dolní části zad a pánve</t>
  </si>
  <si>
    <t>součet bodů příslušných položek z položek 9.28 až 9.32, nejvýše však 600 bodů</t>
  </si>
  <si>
    <t>Poranění bederní páteře</t>
  </si>
  <si>
    <t>Zlomenina výběžku bederního obratle (trnový, příčný)</t>
  </si>
  <si>
    <t>Zlomeniny více než jednoho výběžku bederních obratlů (trnový, příčný)</t>
  </si>
  <si>
    <t>Zlomenina kloubního výběžku bederního obratle - jednoho</t>
  </si>
  <si>
    <t>Zlomenina oblouku bederního obratle bez posunu</t>
  </si>
  <si>
    <t>Zlomenina oblouku bederního obratle s posunem</t>
  </si>
  <si>
    <t>Zlomenina těla bederního obratle bez posunu</t>
  </si>
  <si>
    <t>Zlomenina bederního obratle kompresivní se snížením těla obratle - méně než o 1/3</t>
  </si>
  <si>
    <t>Zlomenina bederního obratle kompresivní se snížením těla obratle - více než o 1/3</t>
  </si>
  <si>
    <t>Mnohočetné zlomeniny bederních obratlů</t>
  </si>
  <si>
    <t>součet bodů příslušných položek z položek 9.34 až 9.42, nejvýše však 250 bodů</t>
  </si>
  <si>
    <t>Poškození bederní meziobratlové ploténky bez herniace</t>
  </si>
  <si>
    <t>Poškození bederní meziobratlové ploténky s herniací</t>
  </si>
  <si>
    <t>Vymknutí bederního obratle</t>
  </si>
  <si>
    <t>Podvrtnutí bederní páteře</t>
  </si>
  <si>
    <t>Otřes bederní míchy</t>
  </si>
  <si>
    <t>Kontuze bederní míchy</t>
  </si>
  <si>
    <t>Transverzální leze bederní míchy</t>
  </si>
  <si>
    <t>Poranění nervového kořene bederní míchy podle rozsahu a tíže poškození</t>
  </si>
  <si>
    <t>Poranění caudy equiny podle rozsahu</t>
  </si>
  <si>
    <t>Poranění lumbosakrální pleteně podle rozsahu</t>
  </si>
  <si>
    <t>10.</t>
  </si>
  <si>
    <t>Poranění nitrobřišních a pánevních orgánů</t>
  </si>
  <si>
    <t>Kontuze sleziny, subkapsulární hematom</t>
  </si>
  <si>
    <t>Ruptura sleziny</t>
  </si>
  <si>
    <t>Lacerace sleziny</t>
  </si>
  <si>
    <t>Kontuze jater, subkapsulární hematom</t>
  </si>
  <si>
    <t>Ruptura jater nebo žlučníku</t>
  </si>
  <si>
    <t>Lacerace jater -jeden lalok</t>
  </si>
  <si>
    <t>Izolované poranění žlučových cest</t>
  </si>
  <si>
    <t>Kontuze slinivky břišní</t>
  </si>
  <si>
    <t>Poranění slinivky břišní bez poranění ductus pancreaticus</t>
  </si>
  <si>
    <t>Lacerace slinivky břišní</t>
  </si>
  <si>
    <t>Lacerace slinivky břišní s poraněním ductus pancreaticus</t>
  </si>
  <si>
    <t>Poranění žaludku - subserosní hematom</t>
  </si>
  <si>
    <t>Poranění žaludku - ruptura, perforace</t>
  </si>
  <si>
    <t>Poranění duodena - kontuze, subserosní hematom</t>
  </si>
  <si>
    <t>Poranění duodena - ruptura, perforace</t>
  </si>
  <si>
    <t>Poranění tenkého střeva - subserosní hematom</t>
  </si>
  <si>
    <t>Poranění tenkého střeva - ruptura, perforace</t>
  </si>
  <si>
    <t>Poranění tračníku - kontuze, subserosní hematom</t>
  </si>
  <si>
    <t>Poranění tračníku - ruptura</t>
  </si>
  <si>
    <t>Poranění konečníku (rána, ruptura, perforace) bez sfinkterů</t>
  </si>
  <si>
    <t>Poranění konečníku (rána, ruptura, perforace) se sfinktery</t>
  </si>
  <si>
    <t>Poranění jiných nitrobřišních orgánů</t>
  </si>
  <si>
    <t>Mnohočetná poranění nitrobřišních orgánů</t>
  </si>
  <si>
    <t>součet položek 10.24 bodů příslušných z položek 10.1 až nejvíce však 1000</t>
  </si>
  <si>
    <t>Kontuze ledviny (poúrazová hematurie s vyloučením jiných příčin)</t>
  </si>
  <si>
    <t>Ruptura parenchymu ledviny</t>
  </si>
  <si>
    <t>Lacerace ledviny nebo ztráta ledviny</t>
  </si>
  <si>
    <t>Poranění dutého systému ledviny</t>
  </si>
  <si>
    <t>Poranění močovodu</t>
  </si>
  <si>
    <t>Vícečetná poranění ledvin a močovodu</t>
  </si>
  <si>
    <t>součet bodů příslušných položek z položek 10.25 až 10.30, nejvýše však 300 bodů</t>
  </si>
  <si>
    <t>Poranění močového měchýře - kontuze, subserosní hematom, hematurie s vyloučením jiných příčin</t>
  </si>
  <si>
    <t>Poranění močového měchýře - ruptura, perforace</t>
  </si>
  <si>
    <t>Pohmoždění močové trubice - parciální ruptura</t>
  </si>
  <si>
    <t>Poranění adnex Jednoho nebo obou</t>
  </si>
  <si>
    <t>60-80</t>
  </si>
  <si>
    <t>Ztráta vaječníku jednostranná</t>
  </si>
  <si>
    <t>Ztráta vaječníku oboustranná</t>
  </si>
  <si>
    <t>Kontuze dělohy</t>
  </si>
  <si>
    <t>Ruptura dělohy nebo její ztráta</t>
  </si>
  <si>
    <t>Kontuze nebo ruptura dělohy s následnou ztrátou plodu v době do 15. týdne těhotenství</t>
  </si>
  <si>
    <t>Kontuze nebo ruptura dělohy s následnou ztrátou plodu po 15. týdnu těhotenství</t>
  </si>
  <si>
    <t>Mnohočetná poranění pánevních orgánů,</t>
  </si>
  <si>
    <t>Součet bodů příslušných položek z položek 10.32 až 10.43, nevýše však 500 bodů</t>
  </si>
  <si>
    <t>11.</t>
  </si>
  <si>
    <t>Poranění horní končetiny - v oblasti ramene a paže</t>
  </si>
  <si>
    <t>Zhmoždění ramene a paže</t>
  </si>
  <si>
    <t>20-30</t>
  </si>
  <si>
    <t>Zlomenina klíční kosti bez - posunu</t>
  </si>
  <si>
    <t>- úplná, s dislokací, tříštivá</t>
  </si>
  <si>
    <t>Zlomenina těla lopatky</t>
  </si>
  <si>
    <t>Zlomenina glenoidu</t>
  </si>
  <si>
    <t>Zlomenina nadpažku nebo zobákovitého výběžku lopatky</t>
  </si>
  <si>
    <t>Zlomenina horního konce pažní kosti velkého hrbolu bez posunu</t>
  </si>
  <si>
    <t>Zlomenina krčku pažní kosti bez posunu</t>
  </si>
  <si>
    <t>Vícečetné zlomeniny horního konce pažní kosti a krčku</t>
  </si>
  <si>
    <t>součet bodů příslušných položek z položek 11.8 až 11.13, nejvýše však 180 bodů</t>
  </si>
  <si>
    <t>Zlomenina diafýzy pažní kosti bez posunu</t>
  </si>
  <si>
    <t>Zlomenina dolního konce pažní kosti bez posunu</t>
  </si>
  <si>
    <t>- nitrokloubní s posunem, tříštivá</t>
  </si>
  <si>
    <t>Zlomenina vnitřního nebo zevního kondylu a epikondylu kosti pažní, izolovaná</t>
  </si>
  <si>
    <t>Mnohočetné zlomeniny klíční kosti, lopatky a pažní kosti</t>
  </si>
  <si>
    <t>Vymknutí ramenního kloubu</t>
  </si>
  <si>
    <t>Prokázané poranění labra glenoidu</t>
  </si>
  <si>
    <t>Vymknutí akromioklavikulárního kloubu - Tossy I</t>
  </si>
  <si>
    <t>Vymknutí akromioklavikulárního kloubu - Tossy II</t>
  </si>
  <si>
    <t>Vymknutí akromioklavikulárního kloubu - Tossy III</t>
  </si>
  <si>
    <t>Vymknutí sternoklavikulárního kloubu</t>
  </si>
  <si>
    <t>Podvrtnutí ramenního kloubu</t>
  </si>
  <si>
    <t>Podvrtnutí akromioklavikulárního kloubu</t>
  </si>
  <si>
    <t>Podvrtnutí sternoklavikulárního kloubu</t>
  </si>
  <si>
    <t>Poranění loketního nervu v úrovni paže</t>
  </si>
  <si>
    <t>Přerušení loketního nervu v úrovni paže</t>
  </si>
  <si>
    <t>Poranění středního nervu v úrovni paže</t>
  </si>
  <si>
    <t>Přerušení středního nervu v úrovni paže</t>
  </si>
  <si>
    <t>Poranění vřetenního nervu v úrovni paže</t>
  </si>
  <si>
    <t>Přerušení vřetenního nervu v úrovni paže</t>
  </si>
  <si>
    <t>Poranění ramenního nervu</t>
  </si>
  <si>
    <t>Přerušení ramenního nervu</t>
  </si>
  <si>
    <t>Poranění svalově kožního nervu</t>
  </si>
  <si>
    <t>Přerušení svalově kožního nervu</t>
  </si>
  <si>
    <t>Poranění kožního cítivého nervu v úrovni ramene a paže</t>
  </si>
  <si>
    <t>Přerušení cítivého nervu v úrovni ramene a paže</t>
  </si>
  <si>
    <t>Poranění jiných nervů v úrovni ramene a paže</t>
  </si>
  <si>
    <t>Poranění mnohočetných nervů v úrovni ramene a paže</t>
  </si>
  <si>
    <t>součet bodů příslušných položek z položek 11.33 až 11.45, nejvýše však 200 bodů</t>
  </si>
  <si>
    <t>Poranění velké tepny nebo hluboké žíly</t>
  </si>
  <si>
    <t>60 za 1 cévu</t>
  </si>
  <si>
    <t>Poranění ostatních cév v úrovni ramene a paže</t>
  </si>
  <si>
    <t>10 za 1 cévu</t>
  </si>
  <si>
    <t>Mnohočetná poranění krevních cév v úrovni ramene a paže</t>
  </si>
  <si>
    <t>součet bodů příslušných položek z položek 11.47 a 11.48, nejvýše však 100 bodů</t>
  </si>
  <si>
    <t>Poranění svalu nebo šlachy rotátorové manžety - natržení</t>
  </si>
  <si>
    <t>Poranění svalu a šlachy jiného svalu ramene a paže (dvojhlavý, trojhlavý) - natržení</t>
  </si>
  <si>
    <t>Drtivé poranění ramene (měkkých a tvrdých struktur)</t>
  </si>
  <si>
    <t>Drtivé poranění paže (měkkých a tvrdých struktur)</t>
  </si>
  <si>
    <t>Exartizace v ramenním kloubu</t>
  </si>
  <si>
    <t>Ztráta končetiny v úrovni mezi ramenem a loktem</t>
  </si>
  <si>
    <t>12.</t>
  </si>
  <si>
    <t>Poranění horní končetiny v oblasti lokte a předloktí</t>
  </si>
  <si>
    <t>Zlomenina okovce loketní kosti bez posunu</t>
  </si>
  <si>
    <t>- s posunem, tříštivá</t>
  </si>
  <si>
    <t>Zlomenina korunového výběžku kosti loketní</t>
  </si>
  <si>
    <t>Zlomenina hlavičky vřetenní kosti bez posunu</t>
  </si>
  <si>
    <t>- odlomení, roztříštěná hlavička kosti vřetenní</t>
  </si>
  <si>
    <t>Zlomenina diafýzy loketní kosti bez posunu</t>
  </si>
  <si>
    <t>Zlomenina diafýzy vřetenní kosti bez posunu</t>
  </si>
  <si>
    <t>Zlomenina diafýz obou kostí loketní i vřetenní</t>
  </si>
  <si>
    <t>Zlomenina dolního konce vřetenní kosti bez posunu</t>
  </si>
  <si>
    <t>- s posunem, tříštivá - nitrokloubní</t>
  </si>
  <si>
    <t>Zlomenina dolního konce loketní i vřetenní kosti bez posunu</t>
  </si>
  <si>
    <t>Zlomenina bodcového výběžku ulny izolovaná</t>
  </si>
  <si>
    <t>Mnohočetné zlomeniny předloktí</t>
  </si>
  <si>
    <t>součet bodů příslušných položek z položek 12.1 až 12.22, nejvýše však 120 bodů</t>
  </si>
  <si>
    <t>Poranění svalů a šlach v úrovni předloktí - natažení</t>
  </si>
  <si>
    <t>Vymknutí lokte</t>
  </si>
  <si>
    <t>Ruptura vřetenního (radiálního) kolaterálního vazu izolovaná</t>
  </si>
  <si>
    <t>Ruptura loketního (ulnárního) kolaterálního vazu izolovaná</t>
  </si>
  <si>
    <t>Podvrtnutí lokte</t>
  </si>
  <si>
    <t>Bolestivá pronace</t>
  </si>
  <si>
    <t>Poranění loketního nervu v úrovni předloktí</t>
  </si>
  <si>
    <t>Přerušení loketního nervu v úrovni předloktí</t>
  </si>
  <si>
    <t>Poranění středního nervu v úrovni předloktí</t>
  </si>
  <si>
    <t>Přerušení středního nervu v úrovni předloktí</t>
  </si>
  <si>
    <t>Poranění vřetenního nervu v úrovni předloktí</t>
  </si>
  <si>
    <t>Přerušení vřetenního nervu v úrovni předloktí</t>
  </si>
  <si>
    <t>Poranění kožního cítivého nervu v úrovni předloktí</t>
  </si>
  <si>
    <t>Přerušení kožního cítivého nervu v úrovni předloktí</t>
  </si>
  <si>
    <t>Poranění jiných nervů v úrovni předloktí</t>
  </si>
  <si>
    <t>Mnohočetná poranění nervů v úrovni předloktí</t>
  </si>
  <si>
    <t>součet bodů příslušných položek z položek 12.32 až 12.40, nejvýše však 200 bodů</t>
  </si>
  <si>
    <t>Poranění velké loketní tepny nebo hluboké žíly v úrovni lokte a předloktí</t>
  </si>
  <si>
    <t>30 za 1 cévu</t>
  </si>
  <si>
    <t>Poranění ostatních cév v úrovni lokte a předloktí</t>
  </si>
  <si>
    <t>Mnohočetná poranění krevních cév v úrovni předloktí</t>
  </si>
  <si>
    <t>součet bodů příslušných položek z položek 12.42 až 12.43, nejvýše však 100 bodů</t>
  </si>
  <si>
    <t>Drtivé poranění lokte (měkkých a tvrdých struktur)</t>
  </si>
  <si>
    <t>Drtivé poranění předloktí (měkkých a tvrdých struktur)</t>
  </si>
  <si>
    <t>Ztráta končetiny v úrovni lokte a předloktí</t>
  </si>
  <si>
    <t>13.</t>
  </si>
  <si>
    <t>Poranění horní končetiny - v úrovni zápěstí a ruky</t>
  </si>
  <si>
    <t>Zhmoždění jednoho prstu ruky bez poškození nehtového lůžka</t>
  </si>
  <si>
    <t>- s poškozením nehtového lůžka, ztráta nehtu</t>
  </si>
  <si>
    <t>Zlomenina kosti člunkové bez posunu</t>
  </si>
  <si>
    <t>Luxační zlomenina baze první kosti zápěstní (Bennettova)</t>
  </si>
  <si>
    <t>Zlomenina jedné záprstní kosti neúplná, abrupce</t>
  </si>
  <si>
    <t>- úplná s posunem úlomků, tříštivá, nitrokloubní</t>
  </si>
  <si>
    <t>Zlomenina proximálního článku palce a základního nebo středního článku ukazováku bez posunu</t>
  </si>
  <si>
    <t>13.13</t>
  </si>
  <si>
    <t>13.14</t>
  </si>
  <si>
    <t xml:space="preserve">Zlomenina distálního článku </t>
  </si>
  <si>
    <t xml:space="preserve"> - palce a ukazováku - bez posunu</t>
  </si>
  <si>
    <t>13.15</t>
  </si>
  <si>
    <t>13.16</t>
  </si>
  <si>
    <t>13.17</t>
  </si>
  <si>
    <t>13.18</t>
  </si>
  <si>
    <t>Zlomeniny více článků jednoho prstu - palce a ukazováku bez posunu</t>
  </si>
  <si>
    <t>13.19</t>
  </si>
  <si>
    <t>13.20</t>
  </si>
  <si>
    <t>13.21</t>
  </si>
  <si>
    <t>13.22</t>
  </si>
  <si>
    <t>Zlomeniny více článků více prstů na jedné ruce bez posunu</t>
  </si>
  <si>
    <t>13.23</t>
  </si>
  <si>
    <t>13.24</t>
  </si>
  <si>
    <t>Vymknutí zápěstí</t>
  </si>
  <si>
    <t>13.25</t>
  </si>
  <si>
    <t>Vymknutí prstu (ruky) včetně mezičlánkových kloubů</t>
  </si>
  <si>
    <t>13.26</t>
  </si>
  <si>
    <t>Ruptura vazů zápěstí a karpu</t>
  </si>
  <si>
    <t>13.27</t>
  </si>
  <si>
    <t>Ruptura vazů prstu ruky a záprstních kloubů ruky</t>
  </si>
  <si>
    <t>13.28</t>
  </si>
  <si>
    <t>Podvrtnutí zápěstí</t>
  </si>
  <si>
    <t>13.29</t>
  </si>
  <si>
    <t>Podvrtnutí prstu ruky</t>
  </si>
  <si>
    <t>13.30</t>
  </si>
  <si>
    <t>Poranění loketního nervu v úrovni zápěstí a ruky</t>
  </si>
  <si>
    <t>13.31</t>
  </si>
  <si>
    <t>Přerušení loketního nervu v úrovni zápěstí a ruky</t>
  </si>
  <si>
    <t>13.32</t>
  </si>
  <si>
    <t>Poranění středního nervu v úrovni ruky a zápěstí</t>
  </si>
  <si>
    <t>13.33</t>
  </si>
  <si>
    <t>Přerušení středního nervu v úrovni ruky a zápěstí</t>
  </si>
  <si>
    <t>13.34</t>
  </si>
  <si>
    <t>Poranění vřetenního nervu v úrovni zápěstí a ruky</t>
  </si>
  <si>
    <t>13.35</t>
  </si>
  <si>
    <t>Přerušení vřetenního nervu v úrovni zápěstí a ruky</t>
  </si>
  <si>
    <t>13.36</t>
  </si>
  <si>
    <t>Poranění prstního nervu palce ruky jednoho nebo obou</t>
  </si>
  <si>
    <t>13.37</t>
  </si>
  <si>
    <t>Přerušení prstního nervu palce ruky jednoho nebo obou</t>
  </si>
  <si>
    <t>13.38</t>
  </si>
  <si>
    <t>Poranění prstního nervu jiného prstu ruky jednoho nebo obou</t>
  </si>
  <si>
    <t>13.39</t>
  </si>
  <si>
    <t>Přerušení prstního nervu jiného prstu ruky jednoho nebo obou</t>
  </si>
  <si>
    <t>13.40</t>
  </si>
  <si>
    <t>Poranění loketní tepny v úrovni zápěstí a ruky</t>
  </si>
  <si>
    <t>13.41</t>
  </si>
  <si>
    <t>Poranění vřetenní tepny v úrovni zápěstí a ruky</t>
  </si>
  <si>
    <t>13.42</t>
  </si>
  <si>
    <t>Poranění jiných cév</t>
  </si>
  <si>
    <t>13.43</t>
  </si>
  <si>
    <t>Poranění svalu a šlachy v úrovni zápěstí a ruky</t>
  </si>
  <si>
    <t>13.44</t>
  </si>
  <si>
    <t>Drtivé poranění palce</t>
  </si>
  <si>
    <t>13.45</t>
  </si>
  <si>
    <t>13.46</t>
  </si>
  <si>
    <t>Drtivé poranění jiných a neurčených částí zápěstí a ruky</t>
  </si>
  <si>
    <t>13.47</t>
  </si>
  <si>
    <t>Ztráta palce ruky (částečná, úplná)</t>
  </si>
  <si>
    <t>60-90</t>
  </si>
  <si>
    <t>13.48</t>
  </si>
  <si>
    <t>Ztráta jiného jednotlivého prstu (částečná, úplná)</t>
  </si>
  <si>
    <t>13.49</t>
  </si>
  <si>
    <t>Ztráta končetiny v úrovni zápěstí</t>
  </si>
  <si>
    <t>13.50</t>
  </si>
  <si>
    <t>Ztráta jiných částí zápěstí a ruky</t>
  </si>
  <si>
    <t>14.</t>
  </si>
  <si>
    <t>Poranění dolní končetiny v oblasti kyčle a stehna</t>
  </si>
  <si>
    <t>Zlomenina pouze hlavice stehenní kosti</t>
  </si>
  <si>
    <t>Zlomenina krčku kosti stehenní (subkapitální, mediocervikální, bazicervikální) - zaklíněná</t>
  </si>
  <si>
    <t>Zlomenina krčku kosti stehenní (subkapitální, mediocervikální, bazicervikální) nezaklíněná, s posunem</t>
  </si>
  <si>
    <t>Zlomenina velkého chocholíku kosti stehenní</t>
  </si>
  <si>
    <t>Zlomenina malého chocholíku kosti stehenní</t>
  </si>
  <si>
    <t>Zlomenina pertrochanterická kosti stehenní - neúplná</t>
  </si>
  <si>
    <t>- úplná s posunem úlomků, tříštivá</t>
  </si>
  <si>
    <t>Zlomenina subtrochanterická kosti stehenní - neúplná</t>
  </si>
  <si>
    <t>14.13</t>
  </si>
  <si>
    <t>Zlomenina diafýzy kosti stehenní bez posunu úlomků</t>
  </si>
  <si>
    <t>14.14</t>
  </si>
  <si>
    <t>14.15</t>
  </si>
  <si>
    <t>14.16</t>
  </si>
  <si>
    <t>Zlomenina dolního konce kosti stehenní nad kondyly bez posunu úlomků</t>
  </si>
  <si>
    <t>14.17</t>
  </si>
  <si>
    <t>14.18</t>
  </si>
  <si>
    <t>14.19</t>
  </si>
  <si>
    <t>Zlomenina jednoho kondylu kosti stehenní bez posunu</t>
  </si>
  <si>
    <t>14.20</t>
  </si>
  <si>
    <t>14.21</t>
  </si>
  <si>
    <t>Zlomenina dolního konce kosti stehenní nitrokloubní (obou kondylů) bez posunu úlomků</t>
  </si>
  <si>
    <t>14.22</t>
  </si>
  <si>
    <t>14.23</t>
  </si>
  <si>
    <t>14.24</t>
  </si>
  <si>
    <t>Izolovaná zlomenina kloubní chrupavky na kondylech kosti stehenní (rtg vyš. a artroskopie)</t>
  </si>
  <si>
    <t>14.25</t>
  </si>
  <si>
    <t>Vymknutí kyčle</t>
  </si>
  <si>
    <t>14.26</t>
  </si>
  <si>
    <t>Podvrtnutí kyčle</t>
  </si>
  <si>
    <t>Poranění nervů v úrovni kyčle a stehna</t>
  </si>
  <si>
    <t>14.27</t>
  </si>
  <si>
    <t>Poranění sedacího nervu v úrovni kyčle a stehna</t>
  </si>
  <si>
    <t>14.28</t>
  </si>
  <si>
    <t>Přerušení sedacího nervu v úrovni kyčle a stehna</t>
  </si>
  <si>
    <t>14.29</t>
  </si>
  <si>
    <t>Poranění stehenního nervu v úrovni kyčle a stehna</t>
  </si>
  <si>
    <t>14.30</t>
  </si>
  <si>
    <t>Přerušení stehenního nervu v úrovni kyčle a stehna</t>
  </si>
  <si>
    <t>14.31</t>
  </si>
  <si>
    <t>Poranění kožního cítivého nervu v úrovni kyčle a stehna</t>
  </si>
  <si>
    <t>14.32</t>
  </si>
  <si>
    <t>Přerušení kožního cítivého nervu v úrovni kyčle a stehna</t>
  </si>
  <si>
    <t>14.33</t>
  </si>
  <si>
    <t>Poranění jiných nervů v úrovni kyčle a stehna</t>
  </si>
  <si>
    <t>14.34</t>
  </si>
  <si>
    <t>Přerušení jiných nervů v úrovni kyčle a stehna</t>
  </si>
  <si>
    <t>14.35</t>
  </si>
  <si>
    <t>Poranění stehenní tepny</t>
  </si>
  <si>
    <t>14.36</t>
  </si>
  <si>
    <t>Poranění stehenní hluboké žíly</t>
  </si>
  <si>
    <t>14.37</t>
  </si>
  <si>
    <t>Poranění ostatních cév v úrovni třísla a stehna</t>
  </si>
  <si>
    <t>14.38</t>
  </si>
  <si>
    <t>Poranění svalu a šlachy kyčle - natažení</t>
  </si>
  <si>
    <t>14.39</t>
  </si>
  <si>
    <t>14.40</t>
  </si>
  <si>
    <t>- přetržení, odtržení</t>
  </si>
  <si>
    <t>14.41</t>
  </si>
  <si>
    <t>Poranění svalu a šlachy přední svalové skupiny - čtyřhlavého svalu - natržení</t>
  </si>
  <si>
    <t>14.42</t>
  </si>
  <si>
    <t>14.43</t>
  </si>
  <si>
    <t>Poranění svalu a šlachy vnitřní svalové skupiny - adduktorů stehna - natažení</t>
  </si>
  <si>
    <t>14.44</t>
  </si>
  <si>
    <t>14.45</t>
  </si>
  <si>
    <t>14.46</t>
  </si>
  <si>
    <t>Poranění svalu a šlachy zadní svalové skupiny - natažení</t>
  </si>
  <si>
    <t>14.47</t>
  </si>
  <si>
    <t>14.48</t>
  </si>
  <si>
    <t>14.49</t>
  </si>
  <si>
    <t>Poranění jiných a neurčených svalů a šlach v úrovni stehna - natažení</t>
  </si>
  <si>
    <t>14.50</t>
  </si>
  <si>
    <t>14.51</t>
  </si>
  <si>
    <t>14.52</t>
  </si>
  <si>
    <t>Drtivé poranění kyčle (měkkých a tvrdých struktur)</t>
  </si>
  <si>
    <t>14.53</t>
  </si>
  <si>
    <t>Drtivé poranění stehna (měkkých a tvrdých struktur)</t>
  </si>
  <si>
    <t>14.54</t>
  </si>
  <si>
    <t>Ztráta končetiny v kyčelním kloubu</t>
  </si>
  <si>
    <t>14.55</t>
  </si>
  <si>
    <t>Ztráta končetiny v oblasti mezi kyčlí a kolenem</t>
  </si>
  <si>
    <t>15.</t>
  </si>
  <si>
    <t>Poranění dolní končetiny v oblasti kolene a bérce</t>
  </si>
  <si>
    <t>Zlomenina čéšky bez posunu</t>
  </si>
  <si>
    <t>Izolovaná zlomenina mezihrbolové vyvýšeniny kosti holenní</t>
  </si>
  <si>
    <t>Nitrokloubní zlomenina horního konce kosti holenní - jednoho kondylu bez posunu úlomků</t>
  </si>
  <si>
    <t>Odlomení drsnatiny kosti holenní</t>
  </si>
  <si>
    <t>Zlomenina diafýzy holenní kosti bez posunu úlomků</t>
  </si>
  <si>
    <t>15.13</t>
  </si>
  <si>
    <t>Zlomenina dolního konce holenní kosti - pilonu, bez posunu</t>
  </si>
  <si>
    <t>15.14</t>
  </si>
  <si>
    <t>15.15</t>
  </si>
  <si>
    <t>15.16</t>
  </si>
  <si>
    <t>Zlomenina dolního konce kosti holení</t>
  </si>
  <si>
    <t>15.17</t>
  </si>
  <si>
    <t>15.18</t>
  </si>
  <si>
    <t>15.19</t>
  </si>
  <si>
    <t>15.20</t>
  </si>
  <si>
    <t>15.21</t>
  </si>
  <si>
    <t>- zlomenina Weber A (fibula pod úrovní syndesmosy + vnitřní kotník nebo deltový vaz)</t>
  </si>
  <si>
    <t>15.22</t>
  </si>
  <si>
    <t>- zlomenina Weber B (fibula v úrovni syndesmosy + vnitřní kotník nebo deltový vaz)</t>
  </si>
  <si>
    <t>15.23</t>
  </si>
  <si>
    <t>- zlomenina Weber C (fibula nad úrovní syndesmosy + vnitřní kotník nebo deltový vaz)</t>
  </si>
  <si>
    <t>15.24</t>
  </si>
  <si>
    <t>15.25</t>
  </si>
  <si>
    <t>- trimaleoolární (Weber B,C+ zadní hrana), luxační</t>
  </si>
  <si>
    <t>15.26</t>
  </si>
  <si>
    <t>Zlomenina samotné kosti lýtkové (bez postižení hlezenného kloubu)</t>
  </si>
  <si>
    <t>15.27</t>
  </si>
  <si>
    <t>Vymknutí čéšky</t>
  </si>
  <si>
    <t>15.28</t>
  </si>
  <si>
    <t>Vymknutí kolena</t>
  </si>
  <si>
    <t>15.29</t>
  </si>
  <si>
    <t>Podvrtnutí kolena</t>
  </si>
  <si>
    <t>15.30</t>
  </si>
  <si>
    <t>Čerstvé přerušení chrupavky kolenního kloubu</t>
  </si>
  <si>
    <t>15.31</t>
  </si>
  <si>
    <t>Poranění vazů kolena - natržení vnitřního nebo zevního postranního vazu kolenního</t>
  </si>
  <si>
    <t>15.32</t>
  </si>
  <si>
    <t>15.33</t>
  </si>
  <si>
    <t>15.34</t>
  </si>
  <si>
    <t>15.35</t>
  </si>
  <si>
    <t>Poranění menisku kolena</t>
  </si>
  <si>
    <t xml:space="preserve"> - vnitřního nebo zevního menisku</t>
  </si>
  <si>
    <t>15.36</t>
  </si>
  <si>
    <t>- poranění typu „unhappy trias“ (postranní vaz menisku, zkřížený vaz)</t>
  </si>
  <si>
    <t>15.37</t>
  </si>
  <si>
    <t>Poranění mnohočetných struktur kolena</t>
  </si>
  <si>
    <t>součet bodů příslušných položek z položek 15.27 až 15.36, nejvýše však 250 bodů</t>
  </si>
  <si>
    <t>15.38</t>
  </si>
  <si>
    <t>Poranění tibiálního nervu</t>
  </si>
  <si>
    <t>15.39</t>
  </si>
  <si>
    <t>Přerušení tibiálního nervu</t>
  </si>
  <si>
    <t>15.40</t>
  </si>
  <si>
    <t>Poranění peroneálního nervu</t>
  </si>
  <si>
    <t>15.41</t>
  </si>
  <si>
    <t>Přerušení peroneálního nervu</t>
  </si>
  <si>
    <t>15.42</t>
  </si>
  <si>
    <t>Poranění kožního cítivého nervu v úrovni bérce</t>
  </si>
  <si>
    <t>15.43</t>
  </si>
  <si>
    <t>Přerušení kožního cítivého nervu v úrovni bérce</t>
  </si>
  <si>
    <t>15.44</t>
  </si>
  <si>
    <t>Přerušení jiných nervů bérce</t>
  </si>
  <si>
    <t>15.45</t>
  </si>
  <si>
    <t>Poranění podkolenní tepny</t>
  </si>
  <si>
    <t>15.46</t>
  </si>
  <si>
    <t>Poranění hluboké žíly bérce</t>
  </si>
  <si>
    <t>15.47</t>
  </si>
  <si>
    <t>Poranění ostatních cév v úrovni bérce</t>
  </si>
  <si>
    <t>15.48</t>
  </si>
  <si>
    <t>Poranění Achillovy šlachy - natržení</t>
  </si>
  <si>
    <t>15.49</t>
  </si>
  <si>
    <t>Poranění Achillovy šlachy - přetržení</t>
  </si>
  <si>
    <t>15.50</t>
  </si>
  <si>
    <t>Poranění svalu bérce nebo jiné šlachy v úrovni bérce (natržení, přetržení)</t>
  </si>
  <si>
    <t>15-20</t>
  </si>
  <si>
    <t>15.51</t>
  </si>
  <si>
    <t>Drtivé poranění kolena nebo bérce (měkkých a tvrdých struktur)</t>
  </si>
  <si>
    <t>15.52</t>
  </si>
  <si>
    <t>Ztráta končetiny v úrovni kolena, exartikulace</t>
  </si>
  <si>
    <t>15.53</t>
  </si>
  <si>
    <t>Ztráta končetiny v oblasti mezi kolenem a kotníkem</t>
  </si>
  <si>
    <t>16.</t>
  </si>
  <si>
    <t>Poranění dolní končetiny v oblasti nohy</t>
  </si>
  <si>
    <t>Zhmoždění prstu nohy bez poškození nehtového lůžka</t>
  </si>
  <si>
    <t>Zlomenina patní kosti bez postižení těla kosti patní (okrajové zlomeniny)</t>
  </si>
  <si>
    <t>Zlomenina kosti hlezenní bez posunu osteochondrální</t>
  </si>
  <si>
    <t>Zlomenina jiných nártních kostí bez posunu</t>
  </si>
  <si>
    <t>- tříštivá, luxační</t>
  </si>
  <si>
    <t>Zlomenina zánártní kosti bez posunu</t>
  </si>
  <si>
    <t>16.13</t>
  </si>
  <si>
    <t>16.14</t>
  </si>
  <si>
    <t>Zlomenina palce nohy jednoho nebo obou článků - bez posunu</t>
  </si>
  <si>
    <t>16.15</t>
  </si>
  <si>
    <t>16.16</t>
  </si>
  <si>
    <t>Zlomenina jednoho nebo více článků jiného prstu než palce</t>
  </si>
  <si>
    <t>16.17</t>
  </si>
  <si>
    <t>Podvrtnutí - hlezenného kloubu</t>
  </si>
  <si>
    <t>16.18</t>
  </si>
  <si>
    <t>16.19</t>
  </si>
  <si>
    <t>16.20</t>
  </si>
  <si>
    <t>16.21</t>
  </si>
  <si>
    <t>16.22</t>
  </si>
  <si>
    <t>Vymknutí hlezenné kosti</t>
  </si>
  <si>
    <t>16.23</t>
  </si>
  <si>
    <t>Vymknutí Chopartova kloubu nebo jednotlivých kostí nártu</t>
  </si>
  <si>
    <t>16.24</t>
  </si>
  <si>
    <t>Vymknutí Lisfrankova kloubu</t>
  </si>
  <si>
    <t>16.25</t>
  </si>
  <si>
    <t>Vymknutí základního kloubu palce nohy</t>
  </si>
  <si>
    <t>16.26</t>
  </si>
  <si>
    <t>Vymknutí jednoho prstu mimo palec, jednoho nebo více kloubů</t>
  </si>
  <si>
    <t>16.27</t>
  </si>
  <si>
    <t>Izolovaná ruptura vazů kotníku a nohy pod ním</t>
  </si>
  <si>
    <t>16.28</t>
  </si>
  <si>
    <t>Poranění zevního plantárního nervu, vnitřního plantárního nervu, hlubokého lýtkového nervu</t>
  </si>
  <si>
    <t>16.29</t>
  </si>
  <si>
    <t>Poranění kožního cítivého nervu a jiných nervů v úrovni kotníku a nohy pod ním</t>
  </si>
  <si>
    <t>16.30</t>
  </si>
  <si>
    <t>Poranění hřbetní tepny nohy pod kotníkem</t>
  </si>
  <si>
    <t>16.31</t>
  </si>
  <si>
    <t>Poranění chodidlové tepny nohy pod kotníkem</t>
  </si>
  <si>
    <t>16.32</t>
  </si>
  <si>
    <t>Poranění jiné cévy nohy</t>
  </si>
  <si>
    <t>16.33</t>
  </si>
  <si>
    <t>Poranění svalu a šlachy v úrovni kotníku a nohy pod ním</t>
  </si>
  <si>
    <t>16.34</t>
  </si>
  <si>
    <t>Drtivé poranění hlezna a záprstí</t>
  </si>
  <si>
    <t>100-130</t>
  </si>
  <si>
    <t>16.35</t>
  </si>
  <si>
    <t>Drtivé poranění prstu nohy</t>
  </si>
  <si>
    <t>16.36</t>
  </si>
  <si>
    <t>Ztráta nohy v úrovni hlezenného kloubu</t>
  </si>
  <si>
    <t>16.37</t>
  </si>
  <si>
    <t>Ztráta nohy pod úrovní hlezenného kloubu</t>
  </si>
  <si>
    <t>16.38</t>
  </si>
  <si>
    <t>Ztráta jednoho prstu nohy (kromě palce nohy)</t>
  </si>
  <si>
    <t>16.39</t>
  </si>
  <si>
    <t>Ztráta palce nohy</t>
  </si>
  <si>
    <t>17.</t>
  </si>
  <si>
    <t>Cizí tělesa</t>
  </si>
  <si>
    <t>Cizí těleso v povrchní ráně</t>
  </si>
  <si>
    <t>Při více drobných cizích tělesech v povrchní ráně</t>
  </si>
  <si>
    <t>nejvýše 25 bodů</t>
  </si>
  <si>
    <t>Cizí těleso v hluboké ráně nebo cizí těleso v tělní dutině nebo tělním otvoru, bez potřeby endoskopie nebo operace</t>
  </si>
  <si>
    <t>Cizí těleso v tělní dutině nebo jiné části těla odstraněné endoskopicky</t>
  </si>
  <si>
    <t>Cizí těleso v tělní dutině nebo jiné části těla odstraněné operačně</t>
  </si>
  <si>
    <t>Vícečetná cizí tělesa v hlubším zanoření do tkáně</t>
  </si>
  <si>
    <t>20-40</t>
  </si>
  <si>
    <t>18.</t>
  </si>
  <si>
    <t>Popálení, poleptání a omrzliny</t>
  </si>
  <si>
    <t>Popálení nebo poleptání úst a dutiny ústní</t>
  </si>
  <si>
    <t>60-100</t>
  </si>
  <si>
    <t>Popálení nebo poleptání hrtanu a průdušnice lehkého stupně</t>
  </si>
  <si>
    <t>Popálení nebo poleptání hrtanu a průdušnice těžkého stupně</t>
  </si>
  <si>
    <t>400 - 500</t>
  </si>
  <si>
    <t>Popálení nebo poleptání hltanu</t>
  </si>
  <si>
    <t>Poleptání nebo popálení jícnu</t>
  </si>
  <si>
    <t>300 - 400</t>
  </si>
  <si>
    <t>Popálení nebo poleptání nebo omrzliny povrchu těla podle rozsahu a stupně postižení</t>
  </si>
  <si>
    <t>I. st.</t>
  </si>
  <si>
    <t>II. st.</t>
  </si>
  <si>
    <t>III. st.</t>
  </si>
  <si>
    <t>méně než 0,25 % povrchu těla</t>
  </si>
  <si>
    <t>0,25 % - méně než 1 % povrchu těla</t>
  </si>
  <si>
    <t>1 % - méně než 5 % povrchu těla</t>
  </si>
  <si>
    <t>5 % - méně než 10 % povrchu těla</t>
  </si>
  <si>
    <t>10 % - méně než 20 % povrchu těla</t>
  </si>
  <si>
    <t>20 % - méně než 30 % povrchu těla</t>
  </si>
  <si>
    <t>18.13</t>
  </si>
  <si>
    <t>30 % - méně než 40 % povrchu těla</t>
  </si>
  <si>
    <t>18.14</t>
  </si>
  <si>
    <t>40 % - méně než 50 % povrchu těla</t>
  </si>
  <si>
    <t>18.15</t>
  </si>
  <si>
    <t>50 % - méně než 60 % povrchu těla</t>
  </si>
  <si>
    <t>18.16</t>
  </si>
  <si>
    <t>60 % - méně než 70 % povrchu těla</t>
  </si>
  <si>
    <t>18.17</t>
  </si>
  <si>
    <t>70 % a více povrchu těla</t>
  </si>
  <si>
    <t>19.</t>
  </si>
  <si>
    <t>Toxický lokální účinek styku s jedovatými živočichy a rostlinami podle rozsahu</t>
  </si>
  <si>
    <t>20.</t>
  </si>
  <si>
    <t>Účinky horka a světla</t>
  </si>
  <si>
    <t>Úpal tepelný a sluneční</t>
  </si>
  <si>
    <t>Mdloba (synkopa) z horka nebo anhydrotické vyčerpání z horka nebo křeče z horka</t>
  </si>
  <si>
    <t>Vyčerpání z horka způsobené nedostatkem (deplecí) soli</t>
  </si>
  <si>
    <t>Otok (edém) z horka</t>
  </si>
  <si>
    <t>Jiné účinky horka a světla</t>
  </si>
  <si>
    <t>21.</t>
  </si>
  <si>
    <t>Další poškození zdraví</t>
  </si>
  <si>
    <t>Celková sepse, septický stav v důsledku poškození zdraví</t>
  </si>
  <si>
    <t>Anurie, Crush syndrom</t>
  </si>
  <si>
    <t>Místní projevy po očkování podle rozsahu (zánět, nekróza)</t>
  </si>
  <si>
    <t>Sérová nemoc</t>
  </si>
  <si>
    <t>Anafylaktický šok</t>
  </si>
  <si>
    <t>- s komplikacemi (bezvědomí, zástava dechu nebo oběhu)</t>
  </si>
  <si>
    <t>22.</t>
  </si>
  <si>
    <t>Akutní depresivní a stresový syndrom potvrzený psychiatrickým pracovištěm</t>
  </si>
  <si>
    <t>100-200</t>
  </si>
  <si>
    <t>Příloha č. 2 k nařízení vlády č. 276/2015 Sb.</t>
  </si>
  <si>
    <t>Počty bodů pro ohodnocení bolesti pro jednotlivá poškození zdraví způsobená nemocí z povolání</t>
  </si>
  <si>
    <t>Kapitola I. seznamu nemocí z povolání: Nemoci z povolání způsobené chemickými látkami</t>
  </si>
  <si>
    <t>Nemoc z chemických látek podle položky 1-58 seznamu nemocí z povolání</t>
  </si>
  <si>
    <t>1.1-58.1</t>
  </si>
  <si>
    <t>Onemocnění, která objektivně trvala kratší dobu než 1 měsíc nebo která nevyžadovala pracovní neschopnost</t>
  </si>
  <si>
    <t>50 - 200</t>
  </si>
  <si>
    <t>1.2-58.2</t>
  </si>
  <si>
    <t>Onemocnění, která objektivně trvala 1 až 2 měsíce, vyžadovala hospitalizaci i pracovní neschopnost</t>
  </si>
  <si>
    <t>201 - 400</t>
  </si>
  <si>
    <t>1.3-58.3</t>
  </si>
  <si>
    <t>Onemocnění, která objektivně trvala déle než 2 měsíce, vyžadovala hospitalizaci i pracovní neschopnost</t>
  </si>
  <si>
    <t>401 - 600</t>
  </si>
  <si>
    <t>1.4-58.4</t>
  </si>
  <si>
    <t>Zhoubný nádor z chemických látek podle položky 1 - 58 seznamu nemocí z povolání</t>
  </si>
  <si>
    <t>800 - 1000</t>
  </si>
  <si>
    <t>Kapitola II. Nemoci z povolání způsobené fyzikálními faktory</t>
  </si>
  <si>
    <t>2.1.</t>
  </si>
  <si>
    <t>Nemoc způsobená ionizujícím zářením</t>
  </si>
  <si>
    <t>Poškození krvetvorby</t>
  </si>
  <si>
    <t>100 - 400</t>
  </si>
  <si>
    <t>Radiační dermatitida</t>
  </si>
  <si>
    <t>100 - 200</t>
  </si>
  <si>
    <t>Rakovina kůže</t>
  </si>
  <si>
    <t>300 - 600</t>
  </si>
  <si>
    <t>2.1.4.</t>
  </si>
  <si>
    <t>Katarakta</t>
  </si>
  <si>
    <t>50 - 300</t>
  </si>
  <si>
    <t>Leukemie</t>
  </si>
  <si>
    <t>Jiné zhoubné nádory</t>
  </si>
  <si>
    <t>Nemoc způsobená elektromagnetickým zářením</t>
  </si>
  <si>
    <t>Poškození způsobené tepelnými účinky elektromagnetického záření</t>
  </si>
  <si>
    <t>Zákal čočky způsobený tepelným zářením</t>
  </si>
  <si>
    <t>Percepční kochleární vada sluchu způsobená hlukemZtráta sluchu v % podle Fowlera</t>
  </si>
  <si>
    <t xml:space="preserve"> K základní sazbě se připočítá za každých 5% ztráty 30 bodů, za tinitus 100 bodů</t>
  </si>
  <si>
    <t xml:space="preserve"> nejvýše však 300 bodů</t>
  </si>
  <si>
    <t>Nemoc způsobená přetlakem a podtlakem okolního prostředí</t>
  </si>
  <si>
    <t>Dekompresní nemoc: kožní nebo lymfatická forma</t>
  </si>
  <si>
    <t>50 - 100</t>
  </si>
  <si>
    <t>Dekompresní nemoc: kloubní forma</t>
  </si>
  <si>
    <t>Dekompresní nemoc: gastrointestinální forma</t>
  </si>
  <si>
    <t>Dekompresní nemoc: nervová forma</t>
  </si>
  <si>
    <t>200 - 600</t>
  </si>
  <si>
    <t>Dekompresní nemoc: plicní forma</t>
  </si>
  <si>
    <t>400 - 600</t>
  </si>
  <si>
    <t>Kombinace postižení více systémů</t>
  </si>
  <si>
    <t>Součet jednotlivých položek z položek 5.1 až 5.5, nejvýše však 600 bodů</t>
  </si>
  <si>
    <t>Sekundární Raynaudův syndrom prstů rukou při práci s vibrujícími nástroji a zařízenímiZa každý článek prstu, který při vodním chladovém testu bělí</t>
  </si>
  <si>
    <t xml:space="preserve"> nejvýše však 150 bodů</t>
  </si>
  <si>
    <t>Nemoci periferních nervů horních končetin charakteru ischemických a úžinových neuropatií při práci s vibrujícími nástroji a zařízeními</t>
  </si>
  <si>
    <t>Poškození středního nervu na horní končetině</t>
  </si>
  <si>
    <t>101 - 150</t>
  </si>
  <si>
    <t>Poškození loketního nebo vřetenního nervu na horní končetině</t>
  </si>
  <si>
    <t>30 - 80</t>
  </si>
  <si>
    <t>81 - 130</t>
  </si>
  <si>
    <t>Nemoci kostí a kloubů rukou nebo zápěstí nebo loktů při práci s vibrujícími nástroji a zařízeními</t>
  </si>
  <si>
    <t>Poškození kloubů na horní končetině</t>
  </si>
  <si>
    <t>50 - 125</t>
  </si>
  <si>
    <t>126 - 200</t>
  </si>
  <si>
    <t>Aseptická nekróza zápěstních a záprstních kůstek na horní končetině</t>
  </si>
  <si>
    <t>Nemoci šlach, šlachových pochev, tíhových váčků nebo úponů nebo svalů nebo kloubů končetin z dlouhodobého nadměrného jednostranného přetěžování</t>
  </si>
  <si>
    <t>Poškození šlach nebo šlachových pochev na horní končetině</t>
  </si>
  <si>
    <t>Poškození úponu šlach na jeden epikondyl pažní kosti</t>
  </si>
  <si>
    <t>Poškození svalů na horní končetině</t>
  </si>
  <si>
    <t>40 - 80</t>
  </si>
  <si>
    <t>81 - 120</t>
  </si>
  <si>
    <t>Poškození kloubů (artrózy) na horní končetině</t>
  </si>
  <si>
    <t>Poškození kloubů (artrózy) na dolních končetinách</t>
  </si>
  <si>
    <t>Nemoci tíhových váčků z tlaku</t>
  </si>
  <si>
    <t>Poškození menisku</t>
  </si>
  <si>
    <t>Nemoci periferních nervů končetin charakteru úžinového syndromu z dlouhodobého nadměrného jednostranného přetěžování nebo z tlaku, tahu nebo torze, s klinickými iritačními a zánikovými příznaky a s patologickým nálezem v EMG vyšetření, odpovídající nejméně středně těžké poruše</t>
  </si>
  <si>
    <t>Poškození holenního nebo lýtkového nervu</t>
  </si>
  <si>
    <t>30 - 90</t>
  </si>
  <si>
    <t>91 - 150</t>
  </si>
  <si>
    <t>Chronická onemocnění bederní páteře způsobená dlouhodobým přetěžováním těžkou fyzickou prací spojená s pracovní neschopností pro tuto diagnózu o celkové době trvání alespoň 12 měsíců, jejichž závažnost byla vyhodnocena</t>
  </si>
  <si>
    <t>a) v klinickém neurologickém vyšetření při hodnocení 7 parametrů, kterými jsou palpační bolestivost v lumbálním segmentu, Thomayerův příznak, Lasègueův příznak, alterace reflexů L2/4 nebo L5/S2, motorický deficit v příslušném myotomu, sensitivní deficit v příslušném dermatomu a EMG průkaz axonální leze v příslušném nervovém kořenu, a na základě tohoto vyšetření byla zjištěna abnormalita u osoby ve věku do 50 let alespoň ve 4 parametrech, ve věku od 50 do 60 let alespoň v 5 parametrech a nad 60 let věku alespoň v 6 parametrech, a současně</t>
  </si>
  <si>
    <t>b) v radiologickém vyšetření při hodnocení morfologických změn v segmentech L3/4, L4/5 a L5/S1, kdy v každém z těchto 3 segmentů se hodnotí 5 parametrů, kterými jsou snížení meziobratlové ploténky, protruze meziobratlové ploténky, Modicovy změny stupně II nebo III obratlových těl, posun obratlového těla a artróza meziobratlových kloubů, a na základě tohoto vyšetření byla zjištěna abnormalita u osoby ve věku do 50 let alespoň v 5 parametrech, ve věku od 50 do 60 let alespoň v 6 parametrech a nad 60 let věku alespoň v 7 parametrech z celkově 15 hodnocených parametrů.</t>
  </si>
  <si>
    <t>200 - 400</t>
  </si>
  <si>
    <t>401 - 700</t>
  </si>
  <si>
    <t>Kapitola III. Nemoci z povolání týkající se dýchacích cest, plic, pohrudnice, pobřišnice a gastrointestinálního traktu</t>
  </si>
  <si>
    <t>Pneumokoniózy způsobené prachem s obsahem volného krystalického oxidu křemičitého (silikózy a uhlokopské pneumokoniózy)</t>
  </si>
  <si>
    <t>a) s typickými rtg znaky prašných změn</t>
  </si>
  <si>
    <t>100 -300</t>
  </si>
  <si>
    <t>b) komplikované formy nebo ve spojení s aktivní tuberkulózou (mykobakteriózou)</t>
  </si>
  <si>
    <t>c) s přihlédnutím k dynamice vývoje</t>
  </si>
  <si>
    <t>0 - 200</t>
  </si>
  <si>
    <t>d) akutní a subakutní formy silikózy</t>
  </si>
  <si>
    <t>600 - 1000</t>
  </si>
  <si>
    <t>Nemoci dýchacích cest, plic, pohrudnice, pobřišnice a gastrointestinálního traktu způsobené prachem z azbestu</t>
  </si>
  <si>
    <t>a) Azbestóza</t>
  </si>
  <si>
    <t>b) Hyalinóza pohrudnice s ventilační poruchou restrikčního typu</t>
  </si>
  <si>
    <t>201 - 300</t>
  </si>
  <si>
    <t>301 - 400</t>
  </si>
  <si>
    <t>c) Mezoteliom</t>
  </si>
  <si>
    <t>d) Rakovina plic, rakovina hrtanu, rakovina vaječní-ků, rakovina žaludku, rakovina tlustého střeva nebo rakovina konečníku, vždy spojená s azbestózou nebo hyalinózou pleury</t>
  </si>
  <si>
    <t>Pneumokonióza způsobená prachem při výrobě a zpracování tvrdokovů</t>
  </si>
  <si>
    <t>Pneumokonióza ze svařování</t>
  </si>
  <si>
    <t>Nemoci dýchacích cest a plic způsobené vdechováním kobaltu, cínu, barya, grafitu, hliníku, berylia, antimonu nebo oxidu titaničitého</t>
  </si>
  <si>
    <t>Rakovina plic z radioaktivních látek</t>
  </si>
  <si>
    <t>Rakovina dýchacích cest a plic způsobená koksárenskými plyny</t>
  </si>
  <si>
    <t>Rakovina sliznice nosní nebo vedlejších dutin nosních</t>
  </si>
  <si>
    <t>Exogenní alergická alveolitida</t>
  </si>
  <si>
    <t>Astma bronchiale a alergická onemocnění horních cest dýchacích</t>
  </si>
  <si>
    <t>Astma průduškové (bronchiale)</t>
  </si>
  <si>
    <t>- pouze s úlevovou léčbou, bez terapie inhalačními kortikosteroidy, s hodnotou FeNO v normě, s lehkou bronchiální hyperreaktivitou</t>
  </si>
  <si>
    <t>201 - 600</t>
  </si>
  <si>
    <t>Alergická rýma (rinitida)</t>
  </si>
  <si>
    <t>- bez poruchy nosní průchodnosti v klidu mimo kontakt s vyvolávající noxou, bez léčby topickými korti-kosteroidy</t>
  </si>
  <si>
    <t>101 - 200</t>
  </si>
  <si>
    <t>Bronchopulmonální nemoci způsobené prachem bavlny, lnu, konopí, juty nebo sisalu</t>
  </si>
  <si>
    <t>Rakovina plic ve spojení s pneumokoniózou způsobenou prachem s obsahem volného krystalického oxidu křemičitého s typickými rtg znaky prašných změn nebo se všemi formami komplikované pneumokoniózy</t>
  </si>
  <si>
    <t>Chronická obstrukční plicní nemoc s FEV1/FVC méně než 0,70 a FEV1 50% referenčních hodnot nebo méně (CHOPN stadium III)</t>
  </si>
  <si>
    <t>3.13.1</t>
  </si>
  <si>
    <t>- FEV1/FVC 0,60 až 0,70</t>
  </si>
  <si>
    <t>3.13.2</t>
  </si>
  <si>
    <t>- FEV1/FVC 0,40 až 0,60</t>
  </si>
  <si>
    <t>3.13.3</t>
  </si>
  <si>
    <t>- FEV1/FVC nižší než 0,40</t>
  </si>
  <si>
    <t>Kapitola IV. Nemoci z povolání kožní</t>
  </si>
  <si>
    <t>Nemoci kůže způsobené fyzikálními, chemickými nebo biologickými faktory</t>
  </si>
  <si>
    <t>- mírné formy, malý rozsah (několik ložisek)</t>
  </si>
  <si>
    <t>30 - 200</t>
  </si>
  <si>
    <t>- mírné formy středního (celé ruce nebo předloktí) až velkého rozsahu (ruce a předloktí, ev. diseminace), nebo závažnější formy velké intenzity i menšího rozsahu</t>
  </si>
  <si>
    <t>- střední až velká intenzita velkého rozsahu (ruce a předloktí, diseminace)(při trvání nemoci do 3 měsíců se hodnotí v dolní polovině navrhovaného pásma, při trvání nemoci déle než 3 měsíce se hodnotí v horní polovině navrhovaného pásma)</t>
  </si>
  <si>
    <t>Kapitola V. Nemoci z povolání přenosné a parazitární</t>
  </si>
  <si>
    <t>Nemoci přenosné z člověka na člověka a parazitární, včetně nemoci způsobené koronavirem SARS-CoV-2</t>
  </si>
  <si>
    <t>- onemocnění, která objektivně trvala kratší dobu než 1 měsíc nebo která nevyžadovala pracovní neschopnost</t>
  </si>
  <si>
    <t>- onemocnění, která objektivně trvala 1 až 2 měsíce, vyžadovala hospitalizaci i pracovní neschopnost</t>
  </si>
  <si>
    <t>- onemocnění, která objektivně trvala déle než 2 měsíce, -vyžadovala hospitalizaci i pracovní neschopnost</t>
  </si>
  <si>
    <t>Nemoci přenosné ze zvířat na člověka buď přímo, nebo prostřednictvím přenašečů</t>
  </si>
  <si>
    <t>- onemocnění, která objektivně trvala déle než 2 měsíce, vyžadovala hospitalizaci i pracovní neschopnost</t>
  </si>
  <si>
    <t>Nemoci přenosné a parazitární vzniklé v zahraničí, včetně nemoci způsobené koronavirem SARS-CoV-2</t>
  </si>
  <si>
    <t>Kapitola VI. Nemoci z povolání způsobené ostatními faktory a činiteli</t>
  </si>
  <si>
    <t>Těžká hyperkinetická dysfonie, uzlíky na hlasivkách, těžká nedomykavost hlasivek nebo těžká fonastenie, pokud jsou trvalé a znemožňují výkon povolání kladoucího zvýšené nároky na hlas</t>
  </si>
  <si>
    <t>100 - 150</t>
  </si>
  <si>
    <t>150 - 200</t>
  </si>
  <si>
    <t>125 - 175</t>
  </si>
  <si>
    <t>Příloha č. 3 k nařízení vlády č. 276/2015 Sb.</t>
  </si>
  <si>
    <t>Počty bodů pro ohodnocení ztížení společenského uplatnění pro jednotlivá poškození zdraví způsobená pracovním úrazem</t>
  </si>
  <si>
    <t>Hlava</t>
  </si>
  <si>
    <t>Ztráta vlasů po skalpaci - úplná</t>
  </si>
  <si>
    <t>Ztráta vlasů po skalpaci - částečná podle rozsahu</t>
  </si>
  <si>
    <t>250 - 500</t>
  </si>
  <si>
    <t>Kostní defekt v klenbě lební do 2 cm2</t>
  </si>
  <si>
    <t>Kostní defekt v klenbě lební v rozsahu 2-10 cm2</t>
  </si>
  <si>
    <t>210-420</t>
  </si>
  <si>
    <t>Kostní defekt v klenbě lební v rozsahu větším než 10 cm2</t>
  </si>
  <si>
    <t>360 - 720</t>
  </si>
  <si>
    <t>Postkomoční syndrom</t>
  </si>
  <si>
    <t>Následky poranění hlavy a neurotraumat v oblasti duševních poruch a poruch chování podle rozsahu a tíže následků (ověřené příslušným psychiatrickým pracovištěm)</t>
  </si>
  <si>
    <t>- úplné, ztráta všech duševních kompetencí</t>
  </si>
  <si>
    <t>Duševní poruchy po jiných těžkých poraněních kromě poranění hlavy a mozku nebo vážné duševní poruchy vzniklé působením otřesných zážitků nebo jiných nepříznivých psychologických činitelů a tísnivých situací podle rozsahu a tíže následků (ověřené příslušným psychiatrickým pracovištěm)</t>
  </si>
  <si>
    <t>Poúrazová epilepsie podle druhu, závažnosti a frekvence záchvatů</t>
  </si>
  <si>
    <t>500 - 1000</t>
  </si>
  <si>
    <t>Potíže po těžkých zraněních jiných částí těla bez bližšího objektivního nálezu (např. fantomové bolesti po amputacích)</t>
  </si>
  <si>
    <t>Traumatická porucha lícního nervu lehkého stupně</t>
  </si>
  <si>
    <t>Traumatická porucha lícního nervu těžkého stupně</t>
  </si>
  <si>
    <t>Traumatické postižení trojklanného nervu</t>
  </si>
  <si>
    <t>500 - 700</t>
  </si>
  <si>
    <t>Poškození obličeje provázené funkčními poruchami (zúžení úst, omezení hybnosti dolní čelisti, defekty rtu) nebo deformující jizvy</t>
  </si>
  <si>
    <t>Moková pištěl po poranění spodiny lební (likvorea)</t>
  </si>
  <si>
    <t>Ztráta chuti</t>
  </si>
  <si>
    <t>Ztráta čichu</t>
  </si>
  <si>
    <t>Ztráta hrotu nosu</t>
  </si>
  <si>
    <t>Ztráta nosu bez zúžení průduchů</t>
  </si>
  <si>
    <t>Ztráta nosu se zúžením průduchů</t>
  </si>
  <si>
    <t>Deformace nosu</t>
  </si>
  <si>
    <t>Perforace nosní přepážky</t>
  </si>
  <si>
    <t>Oko a zrak</t>
  </si>
  <si>
    <t>Stav po vynětí oka s ohledem na zrakovou ostrost druhého oka</t>
  </si>
  <si>
    <t>1000-2000</t>
  </si>
  <si>
    <t>Ztráta čočky u vidoucího oka</t>
  </si>
  <si>
    <t>- nekompenzovatelná - podle výsledné zrakové ostrosti podle tabulky 1</t>
  </si>
  <si>
    <t>Traumatická porucha postavení očí</t>
  </si>
  <si>
    <t>Poruchy zorného pole - podle tabulek 2. a 3.</t>
  </si>
  <si>
    <t>Porušení průchodnosti slzných cest</t>
  </si>
  <si>
    <t>Chybné postavení řas (trichiasa)</t>
  </si>
  <si>
    <t>Rozšíření a ochrnutí zornice vidoucího oka</t>
  </si>
  <si>
    <t>Deformace zevního segmentu oka a jeho okolí</t>
  </si>
  <si>
    <t>Deformace očnice</t>
  </si>
  <si>
    <t>Deformace víček</t>
  </si>
  <si>
    <t>Deformita oka (mimo změn zornice)</t>
  </si>
  <si>
    <t>Traumatická porucha akomodace nepodmíněná ztrátou čočky</t>
  </si>
  <si>
    <t>Poúrazový lagoftalmus</t>
  </si>
  <si>
    <t>Ptóza horního víčka kryjící zornici</t>
  </si>
  <si>
    <t>Ucho, sluch a vestibulární ústrojí</t>
  </si>
  <si>
    <t>Ztráta jednoho boltce</t>
  </si>
  <si>
    <t>Ztráta obou boltců</t>
  </si>
  <si>
    <t>Chronický hnisavý zánět středního ucha poúrazový</t>
  </si>
  <si>
    <t>Deformace boltce lehkého stupně</t>
  </si>
  <si>
    <t>Deformace boltce těžkého stupně</t>
  </si>
  <si>
    <t>Nedoslýchavost jednostranná (včetně opěrkového syndromu - Whiplash)</t>
  </si>
  <si>
    <t>200-400</t>
  </si>
  <si>
    <t>Nedoslýchavost oboustranná (včetně opěrkového syndromu - Whiplash)</t>
  </si>
  <si>
    <t>Hluchota</t>
  </si>
  <si>
    <t>-jednostranná praktická nebo úplná (včetně opěrkového syndromu -Whiplash)</t>
  </si>
  <si>
    <t>- oboustranná praktická nebo úplná (včetně opěrkového syndromu -Whiplash)</t>
  </si>
  <si>
    <t>4000 - 6000</t>
  </si>
  <si>
    <t>- ztráta sluchu druhého ucha do úrovně praktické nebo úplné hluchoty (včetně opěrkového syndromu -Whiplash)</t>
  </si>
  <si>
    <t>Porucha labyrintu mimo nedoslýchavost a hluchotu, (včetně opěrkového syndromu - Whiplash)</t>
  </si>
  <si>
    <t>Neurotizující tinitus (včetně opěrkového syndromu - Whiplash)</t>
  </si>
  <si>
    <t>Chrup, jazyk, krk</t>
  </si>
  <si>
    <t>Ztráta jednoho zubu podle postavení a estetického dopadu (nehodnotí se dětské zuby ani náhrady)</t>
  </si>
  <si>
    <t>Ztráta více zubů podle postavení a estetického dopadu</t>
  </si>
  <si>
    <t>násobek 40</t>
  </si>
  <si>
    <t>Odlomení korunkové části jednoho zubu</t>
  </si>
  <si>
    <t>Odlomení korunkové části více zubů</t>
  </si>
  <si>
    <t>násobek 30</t>
  </si>
  <si>
    <t>Ztráta jazyka úplná</t>
  </si>
  <si>
    <t>Stav po poranění jazyka s defektem tkáně nebo jizevnatými deformacemi</t>
  </si>
  <si>
    <t>Poškození hlasu</t>
  </si>
  <si>
    <t>- částečná ztráta, podle kvality hlasu</t>
  </si>
  <si>
    <t>800-1400</t>
  </si>
  <si>
    <t>Porucha řeči centrálního původu po úrazu (včetně opěrkového syndromu - Whiplash podle tíže poruchy )</t>
  </si>
  <si>
    <t>2000-4000</t>
  </si>
  <si>
    <t>Zúžení hrtanu</t>
  </si>
  <si>
    <t>Stav po tracheotomii s trvale zavedenou kanylou</t>
  </si>
  <si>
    <t>Hrudník, plíce, srdce, jícen, páteř a mícha</t>
  </si>
  <si>
    <t>Omezení hybnosti hrudníku a srůsty plic následkem poranění plic a stěny hrudní</t>
  </si>
  <si>
    <t>Jiné následky poranění plic s poškozením plicního parenchymu a plicních funkcí jednostranné podle rozsahu a tíže</t>
  </si>
  <si>
    <t>Jiné následky poranění plic s poškozením plicního parenchymu a plicních funkcí oboustranné, podle rozsahu a tíže</t>
  </si>
  <si>
    <t>Poruchy srdeční a cévní podle hemodynamické významnosti</t>
  </si>
  <si>
    <t>Pištěl jícnu</t>
  </si>
  <si>
    <t>Zúžení jícnu podle tíže poruchy polykání</t>
  </si>
  <si>
    <t>400 - 800</t>
  </si>
  <si>
    <t>Porucha polykání centrálního původu (včetně opěrkového syndromu - Whiplash)</t>
  </si>
  <si>
    <t>1000-1200</t>
  </si>
  <si>
    <t>Poúrazové omezení hybnosti páteře</t>
  </si>
  <si>
    <t>Poúrazová paraparéza</t>
  </si>
  <si>
    <t>Poúrazová kvadruparéza podle tíže</t>
  </si>
  <si>
    <t>2000 - 3000</t>
  </si>
  <si>
    <t>Poúrazová paraplegie</t>
  </si>
  <si>
    <t>Poúrazová kvadruplegie</t>
  </si>
  <si>
    <t>Poúrazová hemiparéza podle tíže</t>
  </si>
  <si>
    <t>1000-1600</t>
  </si>
  <si>
    <t>Poúrazová hemiplegie</t>
  </si>
  <si>
    <t>Poúrazová monoparéza podle tíže</t>
  </si>
  <si>
    <t>Poúrazová monoplegie</t>
  </si>
  <si>
    <t>Břicho, zažívací orgány, pánev</t>
  </si>
  <si>
    <t>Poškození břišní stěny provázené porušením břišního lisu</t>
  </si>
  <si>
    <t>Porušení funkce zažívacích orgánů</t>
  </si>
  <si>
    <t>Ztráta sleziny</t>
  </si>
  <si>
    <t>Sterkorální pištěl podle rozsahu sekrece</t>
  </si>
  <si>
    <t>1000-1400</t>
  </si>
  <si>
    <t>Nedomykavost řitních svěračů</t>
  </si>
  <si>
    <t>Trvalá stomie</t>
  </si>
  <si>
    <t>Močové a pohlavní orgány</t>
  </si>
  <si>
    <t>Ztráta jedné ledviny</t>
  </si>
  <si>
    <t>Ztráta obou ledvin</t>
  </si>
  <si>
    <t>Porucha močení následkem poranění močových orgánů</t>
  </si>
  <si>
    <t>Pištěl močového měchýře nebo močové roury</t>
  </si>
  <si>
    <t>Počasný zánět močových cest nebo ledvin</t>
  </si>
  <si>
    <t>Druhotné onemocnění ledvin podle rozsahu poruchy ledvinných funkcí</t>
  </si>
  <si>
    <t>500-1000</t>
  </si>
  <si>
    <t>Hydrokéla poúrazová</t>
  </si>
  <si>
    <t>Ztráta jednoho varlete nebo ztráta jednoho vaječníku</t>
  </si>
  <si>
    <t>Ztráta obou varlat (nebo jednoho při kryptorchizmu druhého nebo poškození jiného původu) nebo obou vaječníků (nebo jednoho při poškození druhého jiného původu)</t>
  </si>
  <si>
    <t>- do 49 let</t>
  </si>
  <si>
    <t>- nad 49 let</t>
  </si>
  <si>
    <t>Ztráta pyje nebo těžká deformace pyje nebo poúrazová deformace pochvy nebo zevních pohlavních orgánů ženy znemožňující pohlavní styk podle rozsahu následků</t>
  </si>
  <si>
    <t>2000 - 2400</t>
  </si>
  <si>
    <t>Ztráta jednoho prsu u žen</t>
  </si>
  <si>
    <t>Ztráta obou prsů u žen</t>
  </si>
  <si>
    <t>Výhřez pochvy a dělohy poúrazový</t>
  </si>
  <si>
    <t>Porušení souvislosti pánevního prstence s poruchou statiky páteře a s poruchou funkce dolních končetin podle rozsahu následků</t>
  </si>
  <si>
    <t>1200-1600</t>
  </si>
  <si>
    <t>Potrat v důsledku úrazu do nedokončeného 23. týdne gravidity</t>
  </si>
  <si>
    <t>Předčasný porod v důsledku úrazu od počátku 24. do dokončeného 36. týdne gravidity</t>
  </si>
  <si>
    <t>Horní končetina</t>
  </si>
  <si>
    <t>nedominantní</t>
  </si>
  <si>
    <t>dominantní</t>
  </si>
  <si>
    <t>Ztráta horní končetiny v ramenním kloubu, exartikulace</t>
  </si>
  <si>
    <t>Ztráta horní končetiny mezi ramenním kloubem a loketním kloubem</t>
  </si>
  <si>
    <t>Poškození ramene - úplná ztuhlost</t>
  </si>
  <si>
    <t>Omezení pohyblivosti ramenního kloubu (i po poranění svalů paže)</t>
  </si>
  <si>
    <t>Pakloub kosti pažní</t>
  </si>
  <si>
    <t>Chronický zánět kostní dřeně pažní kosti</t>
  </si>
  <si>
    <t>Habituální vykloubení ramene</t>
  </si>
  <si>
    <t>Nenapravitelné vykloubení</t>
  </si>
  <si>
    <t>Poškození loketního kloubu</t>
  </si>
  <si>
    <t>Poškození kloubů radioulnárních</t>
  </si>
  <si>
    <t>Pakloub obou kostí předloktí</t>
  </si>
  <si>
    <t>Pakloub vřetenní kosti</t>
  </si>
  <si>
    <t>Pakloub loketní kosti</t>
  </si>
  <si>
    <t>Chronický zánět kostní dřeně kostí předloktí</t>
  </si>
  <si>
    <t>Viklavý loketní kloub</t>
  </si>
  <si>
    <t>Ztráta předloktí při zachovalém loketním kloubu</t>
  </si>
  <si>
    <t>Ztráta ruky v zápěstí</t>
  </si>
  <si>
    <t>Ztráta všech prstů ruky (včetně záprstních kostí)</t>
  </si>
  <si>
    <t>Ztráta dvou až čtyř prstů ruky s výjimkou palce</t>
  </si>
  <si>
    <t>Úplná ztuhlost zápěstí</t>
  </si>
  <si>
    <t>Pakloub člunkové kosti</t>
  </si>
  <si>
    <t>Omezení pohyblivosti zápěstí</t>
  </si>
  <si>
    <t>Ztráta palce</t>
  </si>
  <si>
    <t>Ztuhlost mezičlánkového kloubu palce</t>
  </si>
  <si>
    <t>Trvalé podvrtnutí po špatně zhojené Benettově zlomenině</t>
  </si>
  <si>
    <t>Porucha úchopové funkce palce</t>
  </si>
  <si>
    <t>Ztráta ukazováčku</t>
  </si>
  <si>
    <t>Úplná ztuhlost ukazováku</t>
  </si>
  <si>
    <t>Porucha úchopové funkce ukazováku</t>
  </si>
  <si>
    <t>Ztráta prstu (III, IV., nebo V.)</t>
  </si>
  <si>
    <t>Úplná ztuhlost prstu (III., IV. nebo V.)</t>
  </si>
  <si>
    <t>Porucha úchopové funkce prstu (III. IV. nebo V.)</t>
  </si>
  <si>
    <t>Obrna pažního nervu (axilárního) podle tíže</t>
  </si>
  <si>
    <t>Obrna vřetenního nervu podle tíže</t>
  </si>
  <si>
    <t>600 - 1200</t>
  </si>
  <si>
    <t>700-1400</t>
  </si>
  <si>
    <t>Obrna středního nervu podle tíže</t>
  </si>
  <si>
    <t>600-1200</t>
  </si>
  <si>
    <t>Obrna loketního nervu (obdobně nervus musculocutaneus) podle tíže</t>
  </si>
  <si>
    <t>Obrna celé pleteně pažní podle tíže</t>
  </si>
  <si>
    <t>1400 - 2400</t>
  </si>
  <si>
    <t>1400-2800</t>
  </si>
  <si>
    <t>Dolní končetina</t>
  </si>
  <si>
    <t>Ztráta jedné dolní končetiny v kyčelním kloubu nebo mezi kyčelním a kolenním kloubem</t>
  </si>
  <si>
    <t>Pakloub stehenní kosti v krčku nebo v diafýze</t>
  </si>
  <si>
    <t>Chronický zánět kostní dřeně stehenní kosti</t>
  </si>
  <si>
    <t>Zkrácení jedné dolní končetiny</t>
  </si>
  <si>
    <t>- o 2- 4 cm</t>
  </si>
  <si>
    <t>- o 4- 6 cm</t>
  </si>
  <si>
    <t>- o 6 a více cm</t>
  </si>
  <si>
    <t>Deformity stehenní kosti</t>
  </si>
  <si>
    <t>Omezení pohyblivosti kyčelního kloubu</t>
  </si>
  <si>
    <t>Omezení pohyblivosti kolenního kloubu</t>
  </si>
  <si>
    <t>Nestabilita (viklavost) kolenního kloubu</t>
  </si>
  <si>
    <t>Značné vbočení nebo vybočení kolenního kloubu po zlomeninách</t>
  </si>
  <si>
    <t>Trvalé následky po poranění měkkého kolena</t>
  </si>
  <si>
    <t>Ztráta dolní končetiny v bérci se zachovalým kolenem</t>
  </si>
  <si>
    <t>Ztráta dolní končetiny v bérci se ztuhlým kolenem</t>
  </si>
  <si>
    <t>Pakloub kosti holenní nebo obou kostí bérce</t>
  </si>
  <si>
    <t>Chronický zánět kostní dřeně kostí bérce</t>
  </si>
  <si>
    <t>Poúrazové deformity kostí bérce</t>
  </si>
  <si>
    <t>Ztráta nohy v hlezenném kloubu</t>
  </si>
  <si>
    <t>Ztráta chodidla v Chopartově kloubu</t>
  </si>
  <si>
    <t>Ztráta chodidla v Lisfrancově kloubu</t>
  </si>
  <si>
    <t>Úplná ztuhlost v hlezenném kloubu</t>
  </si>
  <si>
    <t>Omezení pohyblivosti hlezenného kloubu</t>
  </si>
  <si>
    <t>Úplná ztráta pronace a supinace nohy</t>
  </si>
  <si>
    <t>Omezení pronace a supinace nohy</t>
  </si>
  <si>
    <t>Nestabilita (viklavost) hlezenného kloubu</t>
  </si>
  <si>
    <t>Plochá noha nebo vbočená noha a jiné poúrazové deformity nohy a hlezna</t>
  </si>
  <si>
    <t>Chronický zánět kostní dřeně kostí nohy</t>
  </si>
  <si>
    <t>Ztráta prstů nohy</t>
  </si>
  <si>
    <t>- II, III. nebo IV. prstu</t>
  </si>
  <si>
    <t>Úplná ztuhlost palce nohy</t>
  </si>
  <si>
    <t>Omezení pohyblivosti palce nohy</t>
  </si>
  <si>
    <t>Trvalé poúrazové omezení krevního oběhu či lymfatického systému dolní končetiny</t>
  </si>
  <si>
    <t>Poúrazová atrofie svalstva dolní končetiny</t>
  </si>
  <si>
    <t>Obrna sedacího nervu podle tíže</t>
  </si>
  <si>
    <t>900-1800</t>
  </si>
  <si>
    <t>Obrna stehenního nervu podle tíže</t>
  </si>
  <si>
    <t>Obrna holenního nervu podle tíže</t>
  </si>
  <si>
    <t>Obrna lýtkového nervu podle tíže</t>
  </si>
  <si>
    <t>Jizevnaté deformace po popáleninovém traumatu a jiných úrazech</t>
  </si>
  <si>
    <t>Rozsáhlé plošné jizvy (minimální rozsah jizvy 10 cm2)</t>
  </si>
  <si>
    <t>200 - 800</t>
  </si>
  <si>
    <t>Hypertrofické jizvy (i nerozsáhlé) obličeje, krku, rukou nebo nohou (viditelné partie těla)</t>
  </si>
  <si>
    <t>Keloidní jizvy (s tendencí k růstu a recidivující)</t>
  </si>
  <si>
    <t>Karcinom kůže v jizvě po poranění (Ulcus Marjolin)</t>
  </si>
  <si>
    <t>Následná postižení orgánů (například po popáleninovém traumatu, sepsi, Crush syndromu, polékové intoxikaci apod.)</t>
  </si>
  <si>
    <t>Toxické poškození jater (subchronická hepatitis) nebo ledvin podle rozsahu a tíže procesu</t>
  </si>
  <si>
    <t>Chronický atrofický zánět sliznice nosní</t>
  </si>
  <si>
    <t>Obstrukční postižení dýchacích cest po inhalačním traumatu podle rozsahu a tíže procesu</t>
  </si>
  <si>
    <t>Heterotopická osifikace po popáleninovém traumatu</t>
  </si>
  <si>
    <t>Omezení pohyblivosti po popáleninovém traumatu</t>
  </si>
  <si>
    <t>hodnocení jako v klasifikacích podle odpovídajících položek v části 8. Horní končetina a části 9. Dolní končetina</t>
  </si>
  <si>
    <t>1. Tabulka k položce 2.5 - hodnocení zrakové ostrosti se snesitelnou korekcí</t>
  </si>
  <si>
    <t>Zraková ostrost</t>
  </si>
  <si>
    <t>2. Tabulka k položce 2.9 - koncentrické zúžení zorného pole</t>
  </si>
  <si>
    <t>POSTIŽENÍ</t>
  </si>
  <si>
    <t>Stupeň zúžení (stupně)</t>
  </si>
  <si>
    <t>jednoho oka</t>
  </si>
  <si>
    <t>obou očí zhruba stejně</t>
  </si>
  <si>
    <t>jediného vidoucího oka</t>
  </si>
  <si>
    <t>Centrální skotomy se hodnotí podle výsledné zrakové ostrosti</t>
  </si>
  <si>
    <t>3. Tabulka k položce 2.9 - nekoncentrické zúžení zorného pole</t>
  </si>
  <si>
    <t>HEMIANOPSIE</t>
  </si>
  <si>
    <t>BODY</t>
  </si>
  <si>
    <t>homonymní levostranná</t>
  </si>
  <si>
    <t>homonymní pravostranná</t>
  </si>
  <si>
    <t>binasální</t>
  </si>
  <si>
    <t>bitemporální</t>
  </si>
  <si>
    <t>oboustranná horní</t>
  </si>
  <si>
    <t>oboustranná dolní</t>
  </si>
  <si>
    <t>nasální jednostranná</t>
  </si>
  <si>
    <t>temporální jednostranná</t>
  </si>
  <si>
    <t>horní jednostranná</t>
  </si>
  <si>
    <t>dolní jednostranná</t>
  </si>
  <si>
    <t>nasální kvadrantová horní</t>
  </si>
  <si>
    <t>nasální kvadrantová dolní</t>
  </si>
  <si>
    <t>temporální kvadrantová horní</t>
  </si>
  <si>
    <t>temporální kvadrantová dolní</t>
  </si>
  <si>
    <t>Příloha č. 4 k nařízení vlády č. 276/2015 Sb.</t>
  </si>
  <si>
    <t>Počty bodů pro ohodnocení ztížení společenského uplatnění pro jednotlivá poškození zdraví způsobená nemocí z povolání</t>
  </si>
  <si>
    <t>Kapitola I seznamu nemocí z povolání: Nemoci z povolání způsobené chemickými látkami</t>
  </si>
  <si>
    <t>Nemoc z chemických látek podle položky 1-58 seznamu nemocí z povolání.</t>
  </si>
  <si>
    <t xml:space="preserve"> Počet bodů se navrhuje podle závažnosti poškození orgánů nebo systémů, které jsou danou chemickou látkou, její sloučeninou nebo směsí postiženy</t>
  </si>
  <si>
    <t>Nervový systém</t>
  </si>
  <si>
    <t>Toxické poškození centrálního nervového systému</t>
  </si>
  <si>
    <t xml:space="preserve"> (Zejména difúzní toxické encefalopatie s organicky podmíněnými psychickými poruchami, případně s extrapyramidovým parkinsonským syndromem)</t>
  </si>
  <si>
    <t>Toxické poškození periferního nervového systému</t>
  </si>
  <si>
    <t xml:space="preserve"> (Zejména toxické polyneuropatie ev. ve spojení s rysy myelopatickými, polyradikulo-patickými či myopatickými)</t>
  </si>
  <si>
    <t>Játra</t>
  </si>
  <si>
    <t>Toxická poškození</t>
  </si>
  <si>
    <t>- stavy se závažným portálním městnáním, opakované krvácivé stavy, ascites, známky encefalopatie, stavy po portokavální anastomóze</t>
  </si>
  <si>
    <t>Nádory jater</t>
  </si>
  <si>
    <t>Ledviny</t>
  </si>
  <si>
    <t>Toxické poškození</t>
  </si>
  <si>
    <t>- postižení ledvin bez funkčního omezení s patologickým nálezem v moči lehkého stupně (diskrétní proteinurie, mikroskopické hematurie)</t>
  </si>
  <si>
    <t>Nádory ledvin</t>
  </si>
  <si>
    <t>Kardiovaskulární systém</t>
  </si>
  <si>
    <t>Krev</t>
  </si>
  <si>
    <t>Panmyelopatie</t>
  </si>
  <si>
    <t>- těžká panmyelopatie s těžkou trombocytopenií a se závažnými klinickými projevy (trombocyty pod 20.000/ul, granulocyty pod 1000/ul)</t>
  </si>
  <si>
    <t>Anemie (různé formy)</t>
  </si>
  <si>
    <t>- těžká anemie se závažnými klinickými projevy (Hb pod 10 g/dl), opakovaná potřeba transfuzí, podstatné snížení výkonnosti</t>
  </si>
  <si>
    <t>- progredující, neléčitelné formy anemie s těžkými klinickými projevy</t>
  </si>
  <si>
    <t>- s výraznými laboratorními a klinickými projevy,</t>
  </si>
  <si>
    <t>- progredující, nevyléčitelné formy</t>
  </si>
  <si>
    <t>Následky toxického poškození horních cest dýchacích dráždivými plyny, parami a dýmy</t>
  </si>
  <si>
    <t>Úplná ztráta čichu a tím ovlivnění chuti k jídlu</t>
  </si>
  <si>
    <t>Následky toxického poškození dolních cest dýchacích a plic dráždivými</t>
  </si>
  <si>
    <t>Poškození s poruchou funkcí plicních lehkého stupně</t>
  </si>
  <si>
    <t>Nádory dýchacích cest</t>
  </si>
  <si>
    <t>Rakovina sliznice nosní, vedlejších dutin nosních nebo hrtanu</t>
  </si>
  <si>
    <t>Rakovina plic</t>
  </si>
  <si>
    <t>Nádory ledvin a močového měchýře</t>
  </si>
  <si>
    <t>Nádory prostaty</t>
  </si>
  <si>
    <t>Po odstranění nádoru v časném stadiu</t>
  </si>
  <si>
    <t>Nádory kůže</t>
  </si>
  <si>
    <t>Po odstranění nádoru (nádorů) při stabilizovaném stavu</t>
  </si>
  <si>
    <t>Metastazující formy nádoru se závažnou prognózou</t>
  </si>
  <si>
    <t>Další nádory z chemických látek</t>
  </si>
  <si>
    <t>Po odstranění nádoru (nádorů) po stabilizaci stavu podle závažnost stavu a projevů</t>
  </si>
  <si>
    <t>2000 - 4000</t>
  </si>
  <si>
    <t>Nemoc způsobená ionizujícím zářením, útlum krvetvorby</t>
  </si>
  <si>
    <t>- těžká s těžkou trombocytopenií se závažnými klinickými projevy (trombocyty pod 20.000/ul, granulocyty pod 1000/ul)</t>
  </si>
  <si>
    <t>- progredující formy, nevyléčitelné</t>
  </si>
  <si>
    <t>1000 - 2000</t>
  </si>
  <si>
    <t>Zákal čočky způsobený ionizujícím zařízením</t>
  </si>
  <si>
    <t>Výsledné stavy po nadměrném ozáření spojené se systémovými nebo lokalizovanými příznaky</t>
  </si>
  <si>
    <t>1200 - 2400</t>
  </si>
  <si>
    <t>Zhoubné nádory vzniklé v důsledku vnitřní kontaminace</t>
  </si>
  <si>
    <t>Zákal čočky způsobený elektromagnetickým zářením</t>
  </si>
  <si>
    <t>Percepční kochleární vada sluchu způsobená hlukem</t>
  </si>
  <si>
    <t>Základ 1600 bodů a za každých 5 % celkové ztráty sluchu podle Fowlera nad limit přidat 200 bodů</t>
  </si>
  <si>
    <t>1600 - 4000</t>
  </si>
  <si>
    <t>Tinitus</t>
  </si>
  <si>
    <t>Následky cévních mozkových příhod se hodnotí analogicky s následky poškození CNS způsobené chemickými látkami a následky poškození kloubů analogicky s poškozením kloubů z vibrací nebo dlouhodobého nadměrného jednostranného přetěžování, následky poškození plic analogicky například s toxickým poškozením plic.</t>
  </si>
  <si>
    <t>400 - 5800</t>
  </si>
  <si>
    <t>2.6.</t>
  </si>
  <si>
    <t>Sekundární Raynaudův syndrom prstů rukou při práci s vibrujícími nástroji a zařízeními</t>
  </si>
  <si>
    <t>Vazospastické stadium na nedominantní ruce</t>
  </si>
  <si>
    <t>Vazospastické stadium na dominantní ruce</t>
  </si>
  <si>
    <t>Vazoparalytické stadium na nedominantní ruce</t>
  </si>
  <si>
    <t>Vazoparalytické stadium na dominantní ruce</t>
  </si>
  <si>
    <t>Nemoci periferních nervů horních končetin charakteru ischemických a úžinových neuropatií při práci s vibrujícími nástroji a zařízeními.</t>
  </si>
  <si>
    <t>Ischemické poškození nervu středního, nervu loketního nebo obou nervů, s klinickými iritačními a zánikovými příznaky a patologickým nálezem v EMG vyšetření, odpovídajícími nejméně středně těžké poruše.</t>
  </si>
  <si>
    <t>Poškození nervů horních končetin charakteru úžinového syndromu s klinickými iritačními a zánikovými příznaky a s patologickým nálezem v EMG vyšetření, odpovídající nejméně středně těžké poruše</t>
  </si>
  <si>
    <t>Poškození loketního nervu na nedominantní ruce</t>
  </si>
  <si>
    <t>Poškození loketního nervu na dominantní ruce</t>
  </si>
  <si>
    <t>Poškození středního nervu na nedominantní ruce</t>
  </si>
  <si>
    <t>Poškození středního nervu na dominantní ruce</t>
  </si>
  <si>
    <t>Nemoci kostí a kloubů rukou nebo zápěstí nebo loktů při práci s vibrujícími nástroji a zařízeními. Aseptické nekrózy zápěstních nebo záprstních kůstek nebo izolovaná artróza kloubů ručních, zápěstních nebo loketních, spojené se závažnou poruchou funkce vedoucí k výraznému omezení pracovní schopnosti</t>
  </si>
  <si>
    <t>Aseptické nekrózy zápěstních nebo záprstních kůstek na nedominantní horní končetině</t>
  </si>
  <si>
    <t>Aseptické nekrózy zápěstních nebo záprstních kůstek na dominantní horní končetině</t>
  </si>
  <si>
    <t>Artróza loketního kloubu na nedominantní horní končetině</t>
  </si>
  <si>
    <t>Artróza loketního kloubu na dominantní horní končetině</t>
  </si>
  <si>
    <t>Artróza ručních nebo zápěstních kloubů na nedominantní horní končetině</t>
  </si>
  <si>
    <t>artróza ručních nebo zápěstních kloubů na dominantní horní končetině</t>
  </si>
  <si>
    <t>Nemoci šlach, šlachových pochev, tíhových váčků, úponů svalů nebo kloubů končetin z dlouhodobého nadměrného jednostranného přetěžování. Objektivními vyšetřovacími metodami potvrzené vleklé formy nemoci vedoucí k výraznému omezení pracovní schopnosti</t>
  </si>
  <si>
    <t>Poškození šlach nebo šlachových pochev na nedominantní horní končetině</t>
  </si>
  <si>
    <t>Poškození šlach nebo šlachových pochev na dominantní horní končetině</t>
  </si>
  <si>
    <t>Poškození úponů šlach najeden epikondyl kosti pažní nedominantní horní končetině</t>
  </si>
  <si>
    <t>Poškození úponů šlach najeden epikondyl kosti pažní dominantní horní končetině</t>
  </si>
  <si>
    <t>Poškození svalů na nedominantní horní končetině</t>
  </si>
  <si>
    <t>Poškození svalů na dominantní horní končetině</t>
  </si>
  <si>
    <t>Artróza ručních nebo zápěstních kloubů na dominantní horní končetině</t>
  </si>
  <si>
    <t>Artróza ramenního kloubu na nedominantní horní končetině</t>
  </si>
  <si>
    <t>Artróza ramenního kloubu na dominantní horní končetině</t>
  </si>
  <si>
    <t>Pes transversoplanus a halux valgus</t>
  </si>
  <si>
    <t>Artróza hlezenného kloubu</t>
  </si>
  <si>
    <t>Nemoci tíhových váčků</t>
  </si>
  <si>
    <t>Poškození loketního nervu na nedominantní horní končetině</t>
  </si>
  <si>
    <t>Poškození loketního nervu na dominantní horní končetině</t>
  </si>
  <si>
    <t>Poškození u středního nervu na nedominantní horní končetině</t>
  </si>
  <si>
    <t>Poškození středního nervu na dominantní horní končetině</t>
  </si>
  <si>
    <t>Poškození vřetenního nervu na nedominantní horní končetině</t>
  </si>
  <si>
    <t>Poškození vřetenního nervu na dominantní horní končetině</t>
  </si>
  <si>
    <t>2000 - 3500</t>
  </si>
  <si>
    <t>Pneumokoniózy způsobené prachem a obsahem volného krystalického oxidu křemičitého: silikóza, silikotuberkulóza, pneumokonióza uhlokopů ve spojení s tuberkulózou</t>
  </si>
  <si>
    <t xml:space="preserve"> a) s typickými rtg znaky prašných změn od četnosti znaků p3, q2, r2 a výše a všechny formy komplikované pneumokoniózy (A, B, C) podle klasifikace Mezinárodní organizace práce</t>
  </si>
  <si>
    <t xml:space="preserve"> b) ve spojení s aktivní tuberkulózou (mykobakteriózou), rtg znaky prašných změn od četností p1, q1, r1 a výše podle klasifikace Mezinárodní organizace práce</t>
  </si>
  <si>
    <t xml:space="preserve"> c) s přihlédnutím k dynamice vývoje, rtg znaky prašných změn od četnosti p2, q1, r1 a výše podle klasifikace Mezinárodní organizace práce</t>
  </si>
  <si>
    <t>Silikóza plic a pneumokonióza uhlokopů v iniciálním stadiu (hodnoceno s přihlédnutím k dynamice vývoje</t>
  </si>
  <si>
    <t>Silikóza plic prostá nebo pneumokonióza uhlokopů prostá bez poruchy nebo s lehkou poruchou funkcí plicních</t>
  </si>
  <si>
    <t>Silikóza plic prostá nebo pneumokonióza uhlokopů prostá se středně těžkou poruchou funkcí nebo silikóza plic komplikovaná či pneumokonióza uhlokopů komplikovaná s lehkou poruchou funkcí plicních</t>
  </si>
  <si>
    <t>Silikóza plic prostá nebo pneumokonióza uhlokopů prostá s těžkou poruchou funkcí</t>
  </si>
  <si>
    <t>Silikóza plic komplikovaná či pneumokonióza uhlokopů komplikovaná se středně těžkou poruchou funkcí plicních</t>
  </si>
  <si>
    <t>Silikóza plic prostá nebo pneumokonióza uhlokopů prostá s těžkou poruchou funkcí plicních vedoucí k pravostrannému srdečnímu selhávání</t>
  </si>
  <si>
    <t>Silikóza plic nebo pneumokonióza uhlokopů ve spojení s aktivní tuberkulózou (mykobakteriózou)</t>
  </si>
  <si>
    <t>Silikóza akutní a subakutní</t>
  </si>
  <si>
    <t xml:space="preserve"> a) azbestóza, rtg znaky prašných změn od četnosti znaků s2, t2, u2 a výše podle klasifikace Mezinárodní organizace práce</t>
  </si>
  <si>
    <t xml:space="preserve"> b) hyalinóza pohrudnice s ventilační poruchou restrikčního typu</t>
  </si>
  <si>
    <t xml:space="preserve"> c) mezoteliom</t>
  </si>
  <si>
    <t xml:space="preserve"> d) rakovina plic, rakovina hrtanu, rakovina vaječníků, rakovina žaludku, rakovina tlustého střeva nebo rakovina konečníku, vždy spojená s azbestózou nebo hyalinózou pleury</t>
  </si>
  <si>
    <t>Azbestóza plic nebo hyalinóza pleury s lehkou poruchou funkcí plicních</t>
  </si>
  <si>
    <t>Azbestóza plic nebo hyalinóza pleury se středně těžkou poruchou funkcí plicních</t>
  </si>
  <si>
    <t>Azbestóza plic nebo hyalinóza pleury s těžkou poruchou funkcí plicních</t>
  </si>
  <si>
    <t>Azbestóza plic nebo hyalinóza pleury s těžkou poruchou funkcí plicních vedoucí k pravostrannému srdečnímu selhávání</t>
  </si>
  <si>
    <t>Mezoteliom</t>
  </si>
  <si>
    <t>Rakovina plic, rakovina hrtanu, rakovina vaječníků, rakovina tlustého střeva nebo rakovina konečníku, vždy spojená s azbestózou nebo hyalinózou pleury</t>
  </si>
  <si>
    <t>Pneumokonióza z tvrdokovů</t>
  </si>
  <si>
    <t>Pneumokonióza ze svařování, rtg znaky prašných změn od četnosti znaků p3, q2, r2 a výše podle klasifikace Mezinárodní organizace práce</t>
  </si>
  <si>
    <t>Pneumokonióza ze svařování bez poruchy plicních funkcí nebo s mírnou poruchou</t>
  </si>
  <si>
    <t>Výraznější forma pneumokoniózy ze svařování se středně těžkou poruchou plicních funkcí</t>
  </si>
  <si>
    <t>Nemoci dýchacích cest a plic způsobené vdechováním kobaltu, cínu, barya, grafitu, hliníku, berylia, antimonu nebo oxidu titaničitého (Podle povahy nemoci navrhovat počet bodů analogicky s některou z běžnějších nosologických jednotek uvedených v příloze č. 4.)</t>
  </si>
  <si>
    <t>Po stabilizaci stavu</t>
  </si>
  <si>
    <t>Nevyléčitelné formy</t>
  </si>
  <si>
    <t>Astma průduškové (bronchiale) podle stupně závažnosti - stupeň se zjišťuje na základě příznaků, objektivních vyšetřovacích metod a zhodnocení efektu užívané terapie</t>
  </si>
  <si>
    <t>- astma bronchiale středně těžkého stupně vyžaduje léčbu topickými kortikosteroidy, popřípadě úlevovými inhalačními léky.</t>
  </si>
  <si>
    <t>- astma bronchiale těžkého stupně onemocnění těžce omezuje aktivitu a vyžaduje terapii topickými, popřípadě perorálními kortikosteroidy, popřípadě další protizánětlivou terapii, společně s úlevovou léčbou</t>
  </si>
  <si>
    <t>- astma bronchiale tak těžkého stupně, že způsobuje pravostranné srdeční selhávání na úrovni NYHA IV</t>
  </si>
  <si>
    <t>- alergická rýma (rinitida) podle stupně závažnosti stupeň se zjišťuje na základě příznaků, objektivních vyšetřovacích metod a zhodnocení efektu užívané terapie</t>
  </si>
  <si>
    <t>Bronchopulmonální nemoc způsobená prachem bavlny, lnu, konopí, juty nebo sisalu</t>
  </si>
  <si>
    <t>Chronická obstrukční plicní nemoc</t>
  </si>
  <si>
    <t>- s FEV1/FVC méně než 0,70 a FEV1 50% referenčních hodnot nebo méně (CHOPN stadium III)</t>
  </si>
  <si>
    <t>- s FEV1/FVC méně než 0,70 a FEV1 méně než 30% referenčních hodnot, chronické respirační selhávání (CHOPN stadium IV)</t>
  </si>
  <si>
    <t>Ohraničené projevy (predilekční místa), stabilizované formy, řídké exacerbace</t>
  </si>
  <si>
    <t>500 - 900</t>
  </si>
  <si>
    <t>Výrazné projevy s častými exacerbacemi nebo v generalizované stabilizované formě</t>
  </si>
  <si>
    <t>Rozsáhlé, dlouhodobě aktivní formy vzdorující léčbě s podstatným snížením celkové výkonnosti</t>
  </si>
  <si>
    <t>2200 - 3400</t>
  </si>
  <si>
    <t>Formy se zvlášť nepříznivým průběhem, trvale silně aktivní</t>
  </si>
  <si>
    <t>Po odstranění nádoru (nádorů) bez známek recidivy po stabilizaci stavu</t>
  </si>
  <si>
    <t>Nemoci přenosné a parazitární, včetně nemoci způsobené koronavirem SARS-CoV-2</t>
  </si>
  <si>
    <t>Vleklé formy nemocí nebo stavy pro proběhlých nemocech s trvalými následky se hodnotí podle poškození funkce napadených orgánů nebo systémů a vlivu na celkový zdravotní stav</t>
  </si>
  <si>
    <t>Lehké formy nemoci nebo její následky s omezením funkce mírného stupně s mírným omezením celkové výkonnosti</t>
  </si>
  <si>
    <t>1000 - 1400</t>
  </si>
  <si>
    <t>Středně těžké formy nemoci nebo středně těžké následky nemoci s poruchou funkce středně těžkého stupně nebo chronické formy pomalu progredující s výrazným omezením celkové výkonnosti</t>
  </si>
  <si>
    <t>2400 - 3400</t>
  </si>
  <si>
    <t>Těžké formy nemoci se závažnými trvalými poruchami funkce orgánů nebo systémů vedoucí k trvalému, závažnému omezení výkonnosti nebo vleklé, trvale silně aktivní onemocnění vzdorující léčbě</t>
  </si>
  <si>
    <t>Zvlášť těžké formy se selháváním orgánů</t>
  </si>
  <si>
    <t>Nemoci přenosné ze zvířat na člověka buď přímo nebo prostřednictvím přenašečů</t>
  </si>
  <si>
    <t>Nemoci přenosné a parazitární získané v zahraničí, včetně nemoci způsobené koronavirem SARS-CoV-2</t>
  </si>
  <si>
    <t>Virová hepatitida</t>
  </si>
  <si>
    <t>Posthepatální únavový a dyspeptický syndrom</t>
  </si>
  <si>
    <t>Perzistující chronická hepatitida</t>
  </si>
  <si>
    <t>Chronická aktivní hepatitida</t>
  </si>
  <si>
    <t>Cirhóza jaterní kompenzovaná</t>
  </si>
  <si>
    <t>Cirhóza jaterní dekompenzovaná, stavy se závažným portálním městnáním, s krvácivými projevy, se známkami encefalopatie, stavy po portokavální anastomóze</t>
  </si>
  <si>
    <t>Cirhóza jaterní s rakovinou jater</t>
  </si>
  <si>
    <t>6. Kapitola VI. Nemoci z povolání způsobené ostatními faktory a činiteli</t>
  </si>
  <si>
    <t>Těžká hyperkinetická dysfonie, uzlíky na hlasivkách, těžká nedomykavost hlasivek a těžká fonastenie, pokud jsou trvalé a znemožňují výkon povolání kladoucího zvýšené nároky na hlas</t>
  </si>
  <si>
    <t>Uzlíky na hlasivkách</t>
  </si>
  <si>
    <t>Nedomykavost, dysfonie, fonastenie</t>
  </si>
  <si>
    <t>________________________________________</t>
  </si>
  <si>
    <t>1) Zákon č. 373/2011 Sb., o specifických zdravotních službách, ve znění pozdějších předpisů.</t>
  </si>
  <si>
    <t>2) Vyhláška č. 98/2012 Sb., o zdravotnické dokumentaci, ve znění vyhlášky č. 236/2013 Sb.</t>
  </si>
  <si>
    <t>3) Nařízení vlády č. 290/1995 Sb., kterým se stanoví seznam nemocí z povolání, ve znění pozdějších předpisů.</t>
  </si>
  <si>
    <t>Nemoci přenosné ze zvířat na člověka buď přímo nebo prostřednictvím prenašečů</t>
  </si>
  <si>
    <t>Nemoci přenosné a parazitární získané v zahraničí</t>
  </si>
  <si>
    <t>Poznámky pod čarou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</si>
</sst>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8A8F8"/>
      <name val="Times New Roman"/>
      <family val="1"/>
      <charset val="238"/>
    </font>
    <font>
      <sz val="12"/>
      <color rgb="FFFF840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sz val="12"/>
      <color rgb="FF40404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name val="Calibri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2"/>
      <color indexed="12"/>
      <name val="Arial"/>
      <family val="2"/>
      <charset val="238"/>
    </font>
    <font>
      <sz val="12"/>
      <color rgb="FF070707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1" applyFont="1" applyAlignment="1">
      <alignment horizontal="justify" vertical="justify" wrapText="1"/>
    </xf>
    <xf numFmtId="0" fontId="1" fillId="0" borderId="0" xfId="1"/>
    <xf numFmtId="0" fontId="3" fillId="2" borderId="0" xfId="1" applyFont="1" applyFill="1" applyAlignment="1">
      <alignment horizontal="center" vertical="justify" wrapText="1"/>
    </xf>
    <xf numFmtId="0" fontId="4" fillId="0" borderId="0" xfId="1" applyFont="1" applyAlignment="1">
      <alignment horizontal="center" vertical="justify" wrapText="1"/>
    </xf>
    <xf numFmtId="0" fontId="5" fillId="0" borderId="0" xfId="1" applyFont="1"/>
    <xf numFmtId="0" fontId="6" fillId="3" borderId="0" xfId="1" applyFont="1" applyFill="1" applyAlignment="1">
      <alignment horizontal="center" vertical="justify" wrapText="1"/>
    </xf>
    <xf numFmtId="0" fontId="4" fillId="0" borderId="0" xfId="1" applyFont="1" applyAlignment="1">
      <alignment horizontal="justify" vertical="justify" wrapText="1"/>
    </xf>
    <xf numFmtId="0" fontId="7" fillId="0" borderId="0" xfId="1" applyFont="1" applyAlignment="1">
      <alignment horizontal="center" vertical="justify" wrapText="1"/>
    </xf>
    <xf numFmtId="0" fontId="8" fillId="0" borderId="0" xfId="1" applyFont="1" applyAlignment="1">
      <alignment vertical="justify" wrapText="1"/>
    </xf>
    <xf numFmtId="0" fontId="9" fillId="0" borderId="0" xfId="1" applyFont="1" applyAlignment="1">
      <alignment vertical="justify" wrapText="1"/>
    </xf>
    <xf numFmtId="0" fontId="10" fillId="0" borderId="0" xfId="1" applyFont="1" applyAlignment="1">
      <alignment horizontal="justify" vertical="justify" wrapText="1"/>
    </xf>
    <xf numFmtId="0" fontId="12" fillId="0" borderId="0" xfId="2" applyFont="1" applyAlignment="1" applyProtection="1">
      <alignment horizontal="justify" vertical="justify" wrapText="1"/>
    </xf>
    <xf numFmtId="0" fontId="12" fillId="0" borderId="0" xfId="2" applyNumberFormat="1" applyFont="1" applyAlignment="1" applyProtection="1">
      <alignment horizontal="justify" vertical="justify" wrapText="1"/>
    </xf>
    <xf numFmtId="0" fontId="13" fillId="0" borderId="0" xfId="1" applyFont="1" applyAlignment="1">
      <alignment vertical="justify" wrapText="1"/>
    </xf>
    <xf numFmtId="16" fontId="8" fillId="0" borderId="0" xfId="1" applyNumberFormat="1" applyFont="1" applyAlignment="1">
      <alignment vertical="justify" wrapText="1"/>
    </xf>
    <xf numFmtId="16" fontId="4" fillId="0" borderId="0" xfId="1" applyNumberFormat="1" applyFont="1" applyAlignment="1">
      <alignment horizontal="justify" vertical="justify" wrapText="1"/>
    </xf>
    <xf numFmtId="16" fontId="9" fillId="0" borderId="0" xfId="1" applyNumberFormat="1" applyFont="1" applyAlignment="1">
      <alignment vertical="justify" wrapText="1"/>
    </xf>
    <xf numFmtId="16" fontId="4" fillId="4" borderId="1" xfId="1" applyNumberFormat="1" applyFont="1" applyFill="1" applyBorder="1" applyAlignment="1">
      <alignment vertical="justify" wrapText="1"/>
    </xf>
    <xf numFmtId="0" fontId="14" fillId="4" borderId="2" xfId="1" applyFont="1" applyFill="1" applyBorder="1" applyAlignment="1">
      <alignment vertical="center"/>
    </xf>
    <xf numFmtId="0" fontId="15" fillId="4" borderId="3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center" vertical="center"/>
    </xf>
    <xf numFmtId="16" fontId="4" fillId="0" borderId="5" xfId="1" applyNumberFormat="1" applyFont="1" applyBorder="1" applyAlignment="1">
      <alignment vertical="justify" wrapText="1"/>
    </xf>
    <xf numFmtId="0" fontId="14" fillId="0" borderId="6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0" fontId="17" fillId="0" borderId="6" xfId="1" applyFont="1" applyBorder="1" applyAlignment="1">
      <alignment vertical="center" wrapText="1"/>
    </xf>
    <xf numFmtId="0" fontId="18" fillId="0" borderId="3" xfId="1" applyFont="1" applyBorder="1" applyAlignment="1">
      <alignment horizontal="right" vertical="center" wrapText="1"/>
    </xf>
    <xf numFmtId="0" fontId="18" fillId="0" borderId="4" xfId="1" applyFont="1" applyBorder="1" applyAlignment="1">
      <alignment horizontal="right" vertical="center" wrapText="1"/>
    </xf>
    <xf numFmtId="0" fontId="18" fillId="0" borderId="2" xfId="1" applyFont="1" applyBorder="1" applyAlignment="1">
      <alignment horizontal="right" vertical="center" wrapText="1"/>
    </xf>
    <xf numFmtId="16" fontId="4" fillId="0" borderId="7" xfId="1" applyNumberFormat="1" applyFont="1" applyBorder="1" applyAlignment="1">
      <alignment vertical="justify" wrapText="1"/>
    </xf>
    <xf numFmtId="0" fontId="17" fillId="0" borderId="7" xfId="1" applyFont="1" applyBorder="1" applyAlignment="1">
      <alignment vertical="center" wrapText="1"/>
    </xf>
    <xf numFmtId="0" fontId="18" fillId="0" borderId="8" xfId="1" applyFont="1" applyBorder="1" applyAlignment="1">
      <alignment horizontal="right" vertical="center" wrapText="1"/>
    </xf>
    <xf numFmtId="0" fontId="18" fillId="0" borderId="9" xfId="1" applyFont="1" applyBorder="1" applyAlignment="1">
      <alignment horizontal="right" vertical="center" wrapText="1"/>
    </xf>
    <xf numFmtId="0" fontId="18" fillId="0" borderId="10" xfId="1" applyFont="1" applyBorder="1" applyAlignment="1">
      <alignment horizontal="right" vertical="center" wrapText="1"/>
    </xf>
    <xf numFmtId="0" fontId="17" fillId="0" borderId="5" xfId="1" applyFont="1" applyBorder="1" applyAlignment="1">
      <alignment vertical="center" wrapText="1"/>
    </xf>
    <xf numFmtId="0" fontId="18" fillId="0" borderId="11" xfId="1" applyFont="1" applyBorder="1" applyAlignment="1">
      <alignment horizontal="right" vertical="center" wrapText="1"/>
    </xf>
    <xf numFmtId="0" fontId="18" fillId="0" borderId="12" xfId="1" applyFont="1" applyBorder="1" applyAlignment="1">
      <alignment horizontal="right" vertical="center" wrapText="1"/>
    </xf>
    <xf numFmtId="0" fontId="18" fillId="0" borderId="6" xfId="1" applyFont="1" applyBorder="1" applyAlignment="1">
      <alignment horizontal="right" vertical="center" wrapText="1"/>
    </xf>
    <xf numFmtId="17" fontId="4" fillId="0" borderId="5" xfId="1" applyNumberFormat="1" applyFont="1" applyBorder="1" applyAlignment="1">
      <alignment vertical="justify" wrapText="1"/>
    </xf>
    <xf numFmtId="17" fontId="4" fillId="0" borderId="7" xfId="1" applyNumberFormat="1" applyFont="1" applyBorder="1" applyAlignment="1">
      <alignment vertical="justify" wrapText="1"/>
    </xf>
    <xf numFmtId="0" fontId="17" fillId="0" borderId="13" xfId="1" applyFont="1" applyBorder="1" applyAlignment="1">
      <alignment vertical="center" wrapText="1"/>
    </xf>
    <xf numFmtId="16" fontId="8" fillId="0" borderId="5" xfId="1" applyNumberFormat="1" applyFont="1" applyBorder="1" applyAlignment="1">
      <alignment vertical="justify" wrapText="1"/>
    </xf>
    <xf numFmtId="17" fontId="18" fillId="0" borderId="3" xfId="1" applyNumberFormat="1" applyFont="1" applyBorder="1" applyAlignment="1">
      <alignment horizontal="right" vertical="center" wrapText="1"/>
    </xf>
    <xf numFmtId="17" fontId="18" fillId="0" borderId="4" xfId="1" applyNumberFormat="1" applyFont="1" applyBorder="1" applyAlignment="1">
      <alignment horizontal="right" vertical="center" wrapText="1"/>
    </xf>
    <xf numFmtId="17" fontId="18" fillId="0" borderId="2" xfId="1" applyNumberFormat="1" applyFont="1" applyBorder="1" applyAlignment="1">
      <alignment horizontal="right" vertical="center" wrapText="1"/>
    </xf>
    <xf numFmtId="17" fontId="8" fillId="0" borderId="5" xfId="1" applyNumberFormat="1" applyFont="1" applyBorder="1" applyAlignment="1">
      <alignment vertical="justify" wrapText="1"/>
    </xf>
    <xf numFmtId="0" fontId="4" fillId="0" borderId="5" xfId="1" applyFont="1" applyBorder="1" applyAlignment="1">
      <alignment vertical="justify" wrapText="1"/>
    </xf>
    <xf numFmtId="16" fontId="18" fillId="0" borderId="3" xfId="1" applyNumberFormat="1" applyFont="1" applyBorder="1" applyAlignment="1">
      <alignment horizontal="right" vertical="center" wrapText="1"/>
    </xf>
    <xf numFmtId="16" fontId="18" fillId="0" borderId="4" xfId="1" applyNumberFormat="1" applyFont="1" applyBorder="1" applyAlignment="1">
      <alignment horizontal="right" vertical="center" wrapText="1"/>
    </xf>
    <xf numFmtId="16" fontId="18" fillId="0" borderId="2" xfId="1" applyNumberFormat="1" applyFont="1" applyBorder="1" applyAlignment="1">
      <alignment horizontal="right" vertical="center" wrapText="1"/>
    </xf>
    <xf numFmtId="0" fontId="8" fillId="0" borderId="5" xfId="1" applyFont="1" applyBorder="1" applyAlignment="1">
      <alignment vertical="justify" wrapText="1"/>
    </xf>
    <xf numFmtId="0" fontId="4" fillId="0" borderId="7" xfId="1" applyFont="1" applyBorder="1" applyAlignment="1">
      <alignment vertical="justify" wrapText="1"/>
    </xf>
    <xf numFmtId="17" fontId="18" fillId="0" borderId="6" xfId="1" applyNumberFormat="1" applyFont="1" applyBorder="1" applyAlignment="1">
      <alignment horizontal="right" vertical="center" wrapText="1"/>
    </xf>
    <xf numFmtId="0" fontId="5" fillId="0" borderId="0" xfId="1" applyFont="1" applyAlignment="1">
      <alignment wrapText="1"/>
    </xf>
    <xf numFmtId="0" fontId="1" fillId="0" borderId="0" xfId="1" applyAlignment="1">
      <alignment wrapText="1"/>
    </xf>
    <xf numFmtId="0" fontId="4" fillId="4" borderId="1" xfId="1" applyFont="1" applyFill="1" applyBorder="1" applyAlignment="1">
      <alignment vertical="justify" wrapText="1"/>
    </xf>
    <xf numFmtId="0" fontId="14" fillId="4" borderId="2" xfId="1" applyFont="1" applyFill="1" applyBorder="1" applyAlignment="1">
      <alignment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14" fontId="4" fillId="0" borderId="5" xfId="1" applyNumberFormat="1" applyFont="1" applyBorder="1" applyAlignment="1">
      <alignment vertical="justify" wrapText="1"/>
    </xf>
    <xf numFmtId="0" fontId="14" fillId="0" borderId="3" xfId="1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18" fillId="0" borderId="7" xfId="1" applyFont="1" applyBorder="1" applyAlignment="1">
      <alignment horizontal="right" vertical="center" wrapText="1"/>
    </xf>
    <xf numFmtId="0" fontId="18" fillId="0" borderId="5" xfId="1" applyFont="1" applyBorder="1" applyAlignment="1">
      <alignment horizontal="right" vertical="center" wrapText="1"/>
    </xf>
    <xf numFmtId="16" fontId="4" fillId="0" borderId="14" xfId="1" applyNumberFormat="1" applyFont="1" applyBorder="1" applyAlignment="1">
      <alignment vertical="justify" wrapText="1"/>
    </xf>
    <xf numFmtId="0" fontId="18" fillId="0" borderId="14" xfId="1" applyFont="1" applyBorder="1" applyAlignment="1">
      <alignment horizontal="right" vertical="center" wrapText="1"/>
    </xf>
    <xf numFmtId="14" fontId="8" fillId="0" borderId="5" xfId="1" applyNumberFormat="1" applyFont="1" applyBorder="1" applyAlignment="1">
      <alignment vertical="justify" wrapText="1"/>
    </xf>
    <xf numFmtId="14" fontId="4" fillId="0" borderId="7" xfId="1" applyNumberFormat="1" applyFont="1" applyBorder="1" applyAlignment="1">
      <alignment vertical="justify" wrapText="1"/>
    </xf>
    <xf numFmtId="14" fontId="4" fillId="0" borderId="0" xfId="1" applyNumberFormat="1" applyFont="1" applyAlignment="1">
      <alignment horizontal="justify" vertical="justify" wrapText="1"/>
    </xf>
    <xf numFmtId="14" fontId="4" fillId="4" borderId="1" xfId="1" applyNumberFormat="1" applyFont="1" applyFill="1" applyBorder="1" applyAlignment="1">
      <alignment vertical="justify" wrapText="1"/>
    </xf>
    <xf numFmtId="0" fontId="16" fillId="4" borderId="2" xfId="1" applyFont="1" applyFill="1" applyBorder="1" applyAlignment="1">
      <alignment vertical="center" wrapText="1"/>
    </xf>
    <xf numFmtId="0" fontId="15" fillId="4" borderId="2" xfId="1" applyFont="1" applyFill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8" fillId="0" borderId="6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0" fontId="19" fillId="0" borderId="6" xfId="2" applyFont="1" applyBorder="1" applyAlignment="1" applyProtection="1">
      <alignment vertical="center" wrapText="1"/>
    </xf>
    <xf numFmtId="0" fontId="18" fillId="0" borderId="3" xfId="1" applyFont="1" applyBorder="1" applyAlignment="1">
      <alignment vertical="center" wrapText="1"/>
    </xf>
    <xf numFmtId="17" fontId="4" fillId="0" borderId="0" xfId="1" applyNumberFormat="1" applyFont="1" applyAlignment="1">
      <alignment horizontal="justify" vertical="justify" wrapText="1"/>
    </xf>
    <xf numFmtId="17" fontId="4" fillId="4" borderId="1" xfId="1" applyNumberFormat="1" applyFont="1" applyFill="1" applyBorder="1" applyAlignment="1">
      <alignment vertical="justify" wrapText="1"/>
    </xf>
    <xf numFmtId="16" fontId="14" fillId="4" borderId="2" xfId="1" applyNumberFormat="1" applyFont="1" applyFill="1" applyBorder="1" applyAlignment="1">
      <alignment horizontal="center" vertical="center" wrapText="1"/>
    </xf>
    <xf numFmtId="16" fontId="15" fillId="4" borderId="2" xfId="1" applyNumberFormat="1" applyFont="1" applyFill="1" applyBorder="1" applyAlignment="1">
      <alignment horizontal="center" vertical="center" wrapText="1"/>
    </xf>
    <xf numFmtId="17" fontId="15" fillId="4" borderId="2" xfId="1" applyNumberFormat="1" applyFont="1" applyFill="1" applyBorder="1" applyAlignment="1">
      <alignment horizontal="center" vertical="center" wrapText="1"/>
    </xf>
    <xf numFmtId="17" fontId="15" fillId="4" borderId="2" xfId="1" applyNumberFormat="1" applyFont="1" applyFill="1" applyBorder="1" applyAlignment="1">
      <alignment horizontal="center" vertical="center"/>
    </xf>
    <xf numFmtId="16" fontId="17" fillId="0" borderId="6" xfId="1" applyNumberFormat="1" applyFont="1" applyBorder="1" applyAlignment="1">
      <alignment horizontal="center" vertical="center" wrapText="1"/>
    </xf>
    <xf numFmtId="16" fontId="18" fillId="0" borderId="6" xfId="1" applyNumberFormat="1" applyFont="1" applyBorder="1" applyAlignment="1">
      <alignment horizontal="center" vertical="center" wrapText="1"/>
    </xf>
    <xf numFmtId="17" fontId="18" fillId="0" borderId="6" xfId="1" applyNumberFormat="1" applyFont="1" applyBorder="1" applyAlignment="1">
      <alignment horizontal="center" vertical="center" wrapText="1"/>
    </xf>
    <xf numFmtId="17" fontId="18" fillId="0" borderId="6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17" fontId="8" fillId="4" borderId="1" xfId="1" applyNumberFormat="1" applyFont="1" applyFill="1" applyBorder="1" applyAlignment="1">
      <alignment vertical="justify" wrapText="1"/>
    </xf>
    <xf numFmtId="0" fontId="14" fillId="4" borderId="3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justify" wrapText="1"/>
    </xf>
    <xf numFmtId="0" fontId="14" fillId="4" borderId="6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17" fontId="4" fillId="0" borderId="5" xfId="1" applyNumberFormat="1" applyFont="1" applyBorder="1" applyAlignment="1">
      <alignment horizontal="center" vertical="justify" wrapText="1"/>
    </xf>
    <xf numFmtId="17" fontId="4" fillId="4" borderId="1" xfId="1" applyNumberFormat="1" applyFont="1" applyFill="1" applyBorder="1" applyAlignment="1">
      <alignment horizontal="center" vertical="justify" wrapText="1"/>
    </xf>
    <xf numFmtId="0" fontId="14" fillId="4" borderId="2" xfId="1" applyFont="1" applyFill="1" applyBorder="1" applyAlignment="1">
      <alignment horizontal="center" vertical="center" wrapText="1"/>
    </xf>
    <xf numFmtId="17" fontId="9" fillId="0" borderId="0" xfId="1" applyNumberFormat="1" applyFont="1" applyAlignment="1">
      <alignment vertical="justify" wrapText="1"/>
    </xf>
    <xf numFmtId="0" fontId="15" fillId="4" borderId="2" xfId="1" applyFont="1" applyFill="1" applyBorder="1" applyAlignment="1">
      <alignment horizontal="right" vertical="center" wrapText="1"/>
    </xf>
    <xf numFmtId="17" fontId="8" fillId="0" borderId="7" xfId="1" applyNumberFormat="1" applyFont="1" applyBorder="1" applyAlignment="1">
      <alignment vertical="justify" wrapText="1"/>
    </xf>
    <xf numFmtId="0" fontId="17" fillId="0" borderId="8" xfId="1" applyFont="1" applyBorder="1" applyAlignment="1">
      <alignment vertical="center" wrapText="1"/>
    </xf>
    <xf numFmtId="0" fontId="18" fillId="0" borderId="10" xfId="1" applyFont="1" applyBorder="1" applyAlignment="1">
      <alignment vertical="center" wrapText="1"/>
    </xf>
    <xf numFmtId="0" fontId="17" fillId="0" borderId="11" xfId="1" applyFont="1" applyBorder="1" applyAlignment="1">
      <alignment vertical="center" wrapText="1"/>
    </xf>
    <xf numFmtId="0" fontId="14" fillId="0" borderId="8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16" fontId="8" fillId="0" borderId="7" xfId="1" applyNumberFormat="1" applyFont="1" applyBorder="1" applyAlignment="1">
      <alignment vertical="justify" wrapText="1"/>
    </xf>
    <xf numFmtId="16" fontId="17" fillId="0" borderId="6" xfId="1" applyNumberFormat="1" applyFont="1" applyBorder="1" applyAlignment="1">
      <alignment vertical="center" wrapText="1"/>
    </xf>
    <xf numFmtId="16" fontId="18" fillId="0" borderId="6" xfId="1" applyNumberFormat="1" applyFont="1" applyBorder="1" applyAlignment="1">
      <alignment horizontal="right" vertical="center" wrapText="1"/>
    </xf>
    <xf numFmtId="16" fontId="1" fillId="0" borderId="0" xfId="1" applyNumberFormat="1" applyAlignment="1">
      <alignment wrapText="1"/>
    </xf>
    <xf numFmtId="17" fontId="1" fillId="0" borderId="0" xfId="1" applyNumberFormat="1" applyAlignment="1">
      <alignment wrapText="1"/>
    </xf>
    <xf numFmtId="17" fontId="1" fillId="0" borderId="0" xfId="1" applyNumberFormat="1"/>
    <xf numFmtId="0" fontId="14" fillId="0" borderId="15" xfId="1" applyFont="1" applyBorder="1" applyAlignment="1">
      <alignment vertical="center" wrapText="1"/>
    </xf>
    <xf numFmtId="0" fontId="15" fillId="0" borderId="13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5" xfId="1" applyFont="1" applyBorder="1" applyAlignment="1">
      <alignment vertical="center" wrapText="1"/>
    </xf>
    <xf numFmtId="14" fontId="4" fillId="0" borderId="3" xfId="1" applyNumberFormat="1" applyFont="1" applyBorder="1" applyAlignment="1">
      <alignment vertical="justify" wrapText="1"/>
    </xf>
    <xf numFmtId="0" fontId="14" fillId="0" borderId="4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14" fontId="20" fillId="0" borderId="0" xfId="1" applyNumberFormat="1" applyFont="1" applyAlignment="1">
      <alignment vertical="justify" wrapText="1"/>
    </xf>
    <xf numFmtId="14" fontId="21" fillId="0" borderId="0" xfId="1" applyNumberFormat="1" applyFont="1" applyAlignment="1">
      <alignment horizontal="justify" vertical="justify" wrapText="1"/>
    </xf>
    <xf numFmtId="16" fontId="21" fillId="0" borderId="0" xfId="1" applyNumberFormat="1" applyFont="1" applyAlignment="1">
      <alignment horizontal="justify" vertical="justify" wrapText="1"/>
    </xf>
    <xf numFmtId="14" fontId="8" fillId="0" borderId="0" xfId="1" applyNumberFormat="1" applyFont="1" applyAlignment="1">
      <alignment vertical="justify" wrapText="1"/>
    </xf>
    <xf numFmtId="17" fontId="8" fillId="0" borderId="0" xfId="1" applyNumberFormat="1" applyFont="1" applyAlignment="1">
      <alignment vertical="justify" wrapText="1"/>
    </xf>
    <xf numFmtId="0" fontId="22" fillId="0" borderId="0" xfId="1" applyFont="1" applyAlignment="1">
      <alignment vertical="justify" wrapText="1"/>
    </xf>
  </cellXfs>
  <cellStyles count="3">
    <cellStyle name="Hypertextový odkaz 2 2" xfId="2" xr:uid="{3747A6C2-4DA6-4950-9578-330A5BF81E31}"/>
    <cellStyle name="Normální" xfId="0" builtinId="0"/>
    <cellStyle name="normální 8 3 2" xfId="1" xr:uid="{5F0F67A7-FD90-4107-A5E9-935A37E90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59D1-061E-447B-9E64-CA147807EF85}">
  <dimension ref="A1:L1665"/>
  <sheetViews>
    <sheetView tabSelected="1" workbookViewId="0">
      <selection activeCell="A2" sqref="A2"/>
    </sheetView>
  </sheetViews>
  <sheetFormatPr defaultRowHeight="13" x14ac:dyDescent="0.25"/>
  <cols>
    <col min="1" max="1" width="100.26953125" style="133" customWidth="1"/>
    <col min="2" max="2" width="64.1796875" style="2" customWidth="1"/>
    <col min="3" max="4" width="8.7265625" style="2"/>
    <col min="5" max="5" width="15.1796875" style="2" customWidth="1"/>
    <col min="6" max="256" width="8.7265625" style="2"/>
    <col min="257" max="257" width="100.26953125" style="2" customWidth="1"/>
    <col min="258" max="258" width="64.1796875" style="2" customWidth="1"/>
    <col min="259" max="260" width="8.7265625" style="2"/>
    <col min="261" max="261" width="15.1796875" style="2" customWidth="1"/>
    <col min="262" max="512" width="8.7265625" style="2"/>
    <col min="513" max="513" width="100.26953125" style="2" customWidth="1"/>
    <col min="514" max="514" width="64.1796875" style="2" customWidth="1"/>
    <col min="515" max="516" width="8.7265625" style="2"/>
    <col min="517" max="517" width="15.1796875" style="2" customWidth="1"/>
    <col min="518" max="768" width="8.7265625" style="2"/>
    <col min="769" max="769" width="100.26953125" style="2" customWidth="1"/>
    <col min="770" max="770" width="64.1796875" style="2" customWidth="1"/>
    <col min="771" max="772" width="8.7265625" style="2"/>
    <col min="773" max="773" width="15.1796875" style="2" customWidth="1"/>
    <col min="774" max="1024" width="8.7265625" style="2"/>
    <col min="1025" max="1025" width="100.26953125" style="2" customWidth="1"/>
    <col min="1026" max="1026" width="64.1796875" style="2" customWidth="1"/>
    <col min="1027" max="1028" width="8.7265625" style="2"/>
    <col min="1029" max="1029" width="15.1796875" style="2" customWidth="1"/>
    <col min="1030" max="1280" width="8.7265625" style="2"/>
    <col min="1281" max="1281" width="100.26953125" style="2" customWidth="1"/>
    <col min="1282" max="1282" width="64.1796875" style="2" customWidth="1"/>
    <col min="1283" max="1284" width="8.7265625" style="2"/>
    <col min="1285" max="1285" width="15.1796875" style="2" customWidth="1"/>
    <col min="1286" max="1536" width="8.7265625" style="2"/>
    <col min="1537" max="1537" width="100.26953125" style="2" customWidth="1"/>
    <col min="1538" max="1538" width="64.1796875" style="2" customWidth="1"/>
    <col min="1539" max="1540" width="8.7265625" style="2"/>
    <col min="1541" max="1541" width="15.1796875" style="2" customWidth="1"/>
    <col min="1542" max="1792" width="8.7265625" style="2"/>
    <col min="1793" max="1793" width="100.26953125" style="2" customWidth="1"/>
    <col min="1794" max="1794" width="64.1796875" style="2" customWidth="1"/>
    <col min="1795" max="1796" width="8.7265625" style="2"/>
    <col min="1797" max="1797" width="15.1796875" style="2" customWidth="1"/>
    <col min="1798" max="2048" width="8.7265625" style="2"/>
    <col min="2049" max="2049" width="100.26953125" style="2" customWidth="1"/>
    <col min="2050" max="2050" width="64.1796875" style="2" customWidth="1"/>
    <col min="2051" max="2052" width="8.7265625" style="2"/>
    <col min="2053" max="2053" width="15.1796875" style="2" customWidth="1"/>
    <col min="2054" max="2304" width="8.7265625" style="2"/>
    <col min="2305" max="2305" width="100.26953125" style="2" customWidth="1"/>
    <col min="2306" max="2306" width="64.1796875" style="2" customWidth="1"/>
    <col min="2307" max="2308" width="8.7265625" style="2"/>
    <col min="2309" max="2309" width="15.1796875" style="2" customWidth="1"/>
    <col min="2310" max="2560" width="8.7265625" style="2"/>
    <col min="2561" max="2561" width="100.26953125" style="2" customWidth="1"/>
    <col min="2562" max="2562" width="64.1796875" style="2" customWidth="1"/>
    <col min="2563" max="2564" width="8.7265625" style="2"/>
    <col min="2565" max="2565" width="15.1796875" style="2" customWidth="1"/>
    <col min="2566" max="2816" width="8.7265625" style="2"/>
    <col min="2817" max="2817" width="100.26953125" style="2" customWidth="1"/>
    <col min="2818" max="2818" width="64.1796875" style="2" customWidth="1"/>
    <col min="2819" max="2820" width="8.7265625" style="2"/>
    <col min="2821" max="2821" width="15.1796875" style="2" customWidth="1"/>
    <col min="2822" max="3072" width="8.7265625" style="2"/>
    <col min="3073" max="3073" width="100.26953125" style="2" customWidth="1"/>
    <col min="3074" max="3074" width="64.1796875" style="2" customWidth="1"/>
    <col min="3075" max="3076" width="8.7265625" style="2"/>
    <col min="3077" max="3077" width="15.1796875" style="2" customWidth="1"/>
    <col min="3078" max="3328" width="8.7265625" style="2"/>
    <col min="3329" max="3329" width="100.26953125" style="2" customWidth="1"/>
    <col min="3330" max="3330" width="64.1796875" style="2" customWidth="1"/>
    <col min="3331" max="3332" width="8.7265625" style="2"/>
    <col min="3333" max="3333" width="15.1796875" style="2" customWidth="1"/>
    <col min="3334" max="3584" width="8.7265625" style="2"/>
    <col min="3585" max="3585" width="100.26953125" style="2" customWidth="1"/>
    <col min="3586" max="3586" width="64.1796875" style="2" customWidth="1"/>
    <col min="3587" max="3588" width="8.7265625" style="2"/>
    <col min="3589" max="3589" width="15.1796875" style="2" customWidth="1"/>
    <col min="3590" max="3840" width="8.7265625" style="2"/>
    <col min="3841" max="3841" width="100.26953125" style="2" customWidth="1"/>
    <col min="3842" max="3842" width="64.1796875" style="2" customWidth="1"/>
    <col min="3843" max="3844" width="8.7265625" style="2"/>
    <col min="3845" max="3845" width="15.1796875" style="2" customWidth="1"/>
    <col min="3846" max="4096" width="8.7265625" style="2"/>
    <col min="4097" max="4097" width="100.26953125" style="2" customWidth="1"/>
    <col min="4098" max="4098" width="64.1796875" style="2" customWidth="1"/>
    <col min="4099" max="4100" width="8.7265625" style="2"/>
    <col min="4101" max="4101" width="15.1796875" style="2" customWidth="1"/>
    <col min="4102" max="4352" width="8.7265625" style="2"/>
    <col min="4353" max="4353" width="100.26953125" style="2" customWidth="1"/>
    <col min="4354" max="4354" width="64.1796875" style="2" customWidth="1"/>
    <col min="4355" max="4356" width="8.7265625" style="2"/>
    <col min="4357" max="4357" width="15.1796875" style="2" customWidth="1"/>
    <col min="4358" max="4608" width="8.7265625" style="2"/>
    <col min="4609" max="4609" width="100.26953125" style="2" customWidth="1"/>
    <col min="4610" max="4610" width="64.1796875" style="2" customWidth="1"/>
    <col min="4611" max="4612" width="8.7265625" style="2"/>
    <col min="4613" max="4613" width="15.1796875" style="2" customWidth="1"/>
    <col min="4614" max="4864" width="8.7265625" style="2"/>
    <col min="4865" max="4865" width="100.26953125" style="2" customWidth="1"/>
    <col min="4866" max="4866" width="64.1796875" style="2" customWidth="1"/>
    <col min="4867" max="4868" width="8.7265625" style="2"/>
    <col min="4869" max="4869" width="15.1796875" style="2" customWidth="1"/>
    <col min="4870" max="5120" width="8.7265625" style="2"/>
    <col min="5121" max="5121" width="100.26953125" style="2" customWidth="1"/>
    <col min="5122" max="5122" width="64.1796875" style="2" customWidth="1"/>
    <col min="5123" max="5124" width="8.7265625" style="2"/>
    <col min="5125" max="5125" width="15.1796875" style="2" customWidth="1"/>
    <col min="5126" max="5376" width="8.7265625" style="2"/>
    <col min="5377" max="5377" width="100.26953125" style="2" customWidth="1"/>
    <col min="5378" max="5378" width="64.1796875" style="2" customWidth="1"/>
    <col min="5379" max="5380" width="8.7265625" style="2"/>
    <col min="5381" max="5381" width="15.1796875" style="2" customWidth="1"/>
    <col min="5382" max="5632" width="8.7265625" style="2"/>
    <col min="5633" max="5633" width="100.26953125" style="2" customWidth="1"/>
    <col min="5634" max="5634" width="64.1796875" style="2" customWidth="1"/>
    <col min="5635" max="5636" width="8.7265625" style="2"/>
    <col min="5637" max="5637" width="15.1796875" style="2" customWidth="1"/>
    <col min="5638" max="5888" width="8.7265625" style="2"/>
    <col min="5889" max="5889" width="100.26953125" style="2" customWidth="1"/>
    <col min="5890" max="5890" width="64.1796875" style="2" customWidth="1"/>
    <col min="5891" max="5892" width="8.7265625" style="2"/>
    <col min="5893" max="5893" width="15.1796875" style="2" customWidth="1"/>
    <col min="5894" max="6144" width="8.7265625" style="2"/>
    <col min="6145" max="6145" width="100.26953125" style="2" customWidth="1"/>
    <col min="6146" max="6146" width="64.1796875" style="2" customWidth="1"/>
    <col min="6147" max="6148" width="8.7265625" style="2"/>
    <col min="6149" max="6149" width="15.1796875" style="2" customWidth="1"/>
    <col min="6150" max="6400" width="8.7265625" style="2"/>
    <col min="6401" max="6401" width="100.26953125" style="2" customWidth="1"/>
    <col min="6402" max="6402" width="64.1796875" style="2" customWidth="1"/>
    <col min="6403" max="6404" width="8.7265625" style="2"/>
    <col min="6405" max="6405" width="15.1796875" style="2" customWidth="1"/>
    <col min="6406" max="6656" width="8.7265625" style="2"/>
    <col min="6657" max="6657" width="100.26953125" style="2" customWidth="1"/>
    <col min="6658" max="6658" width="64.1796875" style="2" customWidth="1"/>
    <col min="6659" max="6660" width="8.7265625" style="2"/>
    <col min="6661" max="6661" width="15.1796875" style="2" customWidth="1"/>
    <col min="6662" max="6912" width="8.7265625" style="2"/>
    <col min="6913" max="6913" width="100.26953125" style="2" customWidth="1"/>
    <col min="6914" max="6914" width="64.1796875" style="2" customWidth="1"/>
    <col min="6915" max="6916" width="8.7265625" style="2"/>
    <col min="6917" max="6917" width="15.1796875" style="2" customWidth="1"/>
    <col min="6918" max="7168" width="8.7265625" style="2"/>
    <col min="7169" max="7169" width="100.26953125" style="2" customWidth="1"/>
    <col min="7170" max="7170" width="64.1796875" style="2" customWidth="1"/>
    <col min="7171" max="7172" width="8.7265625" style="2"/>
    <col min="7173" max="7173" width="15.1796875" style="2" customWidth="1"/>
    <col min="7174" max="7424" width="8.7265625" style="2"/>
    <col min="7425" max="7425" width="100.26953125" style="2" customWidth="1"/>
    <col min="7426" max="7426" width="64.1796875" style="2" customWidth="1"/>
    <col min="7427" max="7428" width="8.7265625" style="2"/>
    <col min="7429" max="7429" width="15.1796875" style="2" customWidth="1"/>
    <col min="7430" max="7680" width="8.7265625" style="2"/>
    <col min="7681" max="7681" width="100.26953125" style="2" customWidth="1"/>
    <col min="7682" max="7682" width="64.1796875" style="2" customWidth="1"/>
    <col min="7683" max="7684" width="8.7265625" style="2"/>
    <col min="7685" max="7685" width="15.1796875" style="2" customWidth="1"/>
    <col min="7686" max="7936" width="8.7265625" style="2"/>
    <col min="7937" max="7937" width="100.26953125" style="2" customWidth="1"/>
    <col min="7938" max="7938" width="64.1796875" style="2" customWidth="1"/>
    <col min="7939" max="7940" width="8.7265625" style="2"/>
    <col min="7941" max="7941" width="15.1796875" style="2" customWidth="1"/>
    <col min="7942" max="8192" width="8.7265625" style="2"/>
    <col min="8193" max="8193" width="100.26953125" style="2" customWidth="1"/>
    <col min="8194" max="8194" width="64.1796875" style="2" customWidth="1"/>
    <col min="8195" max="8196" width="8.7265625" style="2"/>
    <col min="8197" max="8197" width="15.1796875" style="2" customWidth="1"/>
    <col min="8198" max="8448" width="8.7265625" style="2"/>
    <col min="8449" max="8449" width="100.26953125" style="2" customWidth="1"/>
    <col min="8450" max="8450" width="64.1796875" style="2" customWidth="1"/>
    <col min="8451" max="8452" width="8.7265625" style="2"/>
    <col min="8453" max="8453" width="15.1796875" style="2" customWidth="1"/>
    <col min="8454" max="8704" width="8.7265625" style="2"/>
    <col min="8705" max="8705" width="100.26953125" style="2" customWidth="1"/>
    <col min="8706" max="8706" width="64.1796875" style="2" customWidth="1"/>
    <col min="8707" max="8708" width="8.7265625" style="2"/>
    <col min="8709" max="8709" width="15.1796875" style="2" customWidth="1"/>
    <col min="8710" max="8960" width="8.7265625" style="2"/>
    <col min="8961" max="8961" width="100.26953125" style="2" customWidth="1"/>
    <col min="8962" max="8962" width="64.1796875" style="2" customWidth="1"/>
    <col min="8963" max="8964" width="8.7265625" style="2"/>
    <col min="8965" max="8965" width="15.1796875" style="2" customWidth="1"/>
    <col min="8966" max="9216" width="8.7265625" style="2"/>
    <col min="9217" max="9217" width="100.26953125" style="2" customWidth="1"/>
    <col min="9218" max="9218" width="64.1796875" style="2" customWidth="1"/>
    <col min="9219" max="9220" width="8.7265625" style="2"/>
    <col min="9221" max="9221" width="15.1796875" style="2" customWidth="1"/>
    <col min="9222" max="9472" width="8.7265625" style="2"/>
    <col min="9473" max="9473" width="100.26953125" style="2" customWidth="1"/>
    <col min="9474" max="9474" width="64.1796875" style="2" customWidth="1"/>
    <col min="9475" max="9476" width="8.7265625" style="2"/>
    <col min="9477" max="9477" width="15.1796875" style="2" customWidth="1"/>
    <col min="9478" max="9728" width="8.7265625" style="2"/>
    <col min="9729" max="9729" width="100.26953125" style="2" customWidth="1"/>
    <col min="9730" max="9730" width="64.1796875" style="2" customWidth="1"/>
    <col min="9731" max="9732" width="8.7265625" style="2"/>
    <col min="9733" max="9733" width="15.1796875" style="2" customWidth="1"/>
    <col min="9734" max="9984" width="8.7265625" style="2"/>
    <col min="9985" max="9985" width="100.26953125" style="2" customWidth="1"/>
    <col min="9986" max="9986" width="64.1796875" style="2" customWidth="1"/>
    <col min="9987" max="9988" width="8.7265625" style="2"/>
    <col min="9989" max="9989" width="15.1796875" style="2" customWidth="1"/>
    <col min="9990" max="10240" width="8.7265625" style="2"/>
    <col min="10241" max="10241" width="100.26953125" style="2" customWidth="1"/>
    <col min="10242" max="10242" width="64.1796875" style="2" customWidth="1"/>
    <col min="10243" max="10244" width="8.7265625" style="2"/>
    <col min="10245" max="10245" width="15.1796875" style="2" customWidth="1"/>
    <col min="10246" max="10496" width="8.7265625" style="2"/>
    <col min="10497" max="10497" width="100.26953125" style="2" customWidth="1"/>
    <col min="10498" max="10498" width="64.1796875" style="2" customWidth="1"/>
    <col min="10499" max="10500" width="8.7265625" style="2"/>
    <col min="10501" max="10501" width="15.1796875" style="2" customWidth="1"/>
    <col min="10502" max="10752" width="8.7265625" style="2"/>
    <col min="10753" max="10753" width="100.26953125" style="2" customWidth="1"/>
    <col min="10754" max="10754" width="64.1796875" style="2" customWidth="1"/>
    <col min="10755" max="10756" width="8.7265625" style="2"/>
    <col min="10757" max="10757" width="15.1796875" style="2" customWidth="1"/>
    <col min="10758" max="11008" width="8.7265625" style="2"/>
    <col min="11009" max="11009" width="100.26953125" style="2" customWidth="1"/>
    <col min="11010" max="11010" width="64.1796875" style="2" customWidth="1"/>
    <col min="11011" max="11012" width="8.7265625" style="2"/>
    <col min="11013" max="11013" width="15.1796875" style="2" customWidth="1"/>
    <col min="11014" max="11264" width="8.7265625" style="2"/>
    <col min="11265" max="11265" width="100.26953125" style="2" customWidth="1"/>
    <col min="11266" max="11266" width="64.1796875" style="2" customWidth="1"/>
    <col min="11267" max="11268" width="8.7265625" style="2"/>
    <col min="11269" max="11269" width="15.1796875" style="2" customWidth="1"/>
    <col min="11270" max="11520" width="8.7265625" style="2"/>
    <col min="11521" max="11521" width="100.26953125" style="2" customWidth="1"/>
    <col min="11522" max="11522" width="64.1796875" style="2" customWidth="1"/>
    <col min="11523" max="11524" width="8.7265625" style="2"/>
    <col min="11525" max="11525" width="15.1796875" style="2" customWidth="1"/>
    <col min="11526" max="11776" width="8.7265625" style="2"/>
    <col min="11777" max="11777" width="100.26953125" style="2" customWidth="1"/>
    <col min="11778" max="11778" width="64.1796875" style="2" customWidth="1"/>
    <col min="11779" max="11780" width="8.7265625" style="2"/>
    <col min="11781" max="11781" width="15.1796875" style="2" customWidth="1"/>
    <col min="11782" max="12032" width="8.7265625" style="2"/>
    <col min="12033" max="12033" width="100.26953125" style="2" customWidth="1"/>
    <col min="12034" max="12034" width="64.1796875" style="2" customWidth="1"/>
    <col min="12035" max="12036" width="8.7265625" style="2"/>
    <col min="12037" max="12037" width="15.1796875" style="2" customWidth="1"/>
    <col min="12038" max="12288" width="8.7265625" style="2"/>
    <col min="12289" max="12289" width="100.26953125" style="2" customWidth="1"/>
    <col min="12290" max="12290" width="64.1796875" style="2" customWidth="1"/>
    <col min="12291" max="12292" width="8.7265625" style="2"/>
    <col min="12293" max="12293" width="15.1796875" style="2" customWidth="1"/>
    <col min="12294" max="12544" width="8.7265625" style="2"/>
    <col min="12545" max="12545" width="100.26953125" style="2" customWidth="1"/>
    <col min="12546" max="12546" width="64.1796875" style="2" customWidth="1"/>
    <col min="12547" max="12548" width="8.7265625" style="2"/>
    <col min="12549" max="12549" width="15.1796875" style="2" customWidth="1"/>
    <col min="12550" max="12800" width="8.7265625" style="2"/>
    <col min="12801" max="12801" width="100.26953125" style="2" customWidth="1"/>
    <col min="12802" max="12802" width="64.1796875" style="2" customWidth="1"/>
    <col min="12803" max="12804" width="8.7265625" style="2"/>
    <col min="12805" max="12805" width="15.1796875" style="2" customWidth="1"/>
    <col min="12806" max="13056" width="8.7265625" style="2"/>
    <col min="13057" max="13057" width="100.26953125" style="2" customWidth="1"/>
    <col min="13058" max="13058" width="64.1796875" style="2" customWidth="1"/>
    <col min="13059" max="13060" width="8.7265625" style="2"/>
    <col min="13061" max="13061" width="15.1796875" style="2" customWidth="1"/>
    <col min="13062" max="13312" width="8.7265625" style="2"/>
    <col min="13313" max="13313" width="100.26953125" style="2" customWidth="1"/>
    <col min="13314" max="13314" width="64.1796875" style="2" customWidth="1"/>
    <col min="13315" max="13316" width="8.7265625" style="2"/>
    <col min="13317" max="13317" width="15.1796875" style="2" customWidth="1"/>
    <col min="13318" max="13568" width="8.7265625" style="2"/>
    <col min="13569" max="13569" width="100.26953125" style="2" customWidth="1"/>
    <col min="13570" max="13570" width="64.1796875" style="2" customWidth="1"/>
    <col min="13571" max="13572" width="8.7265625" style="2"/>
    <col min="13573" max="13573" width="15.1796875" style="2" customWidth="1"/>
    <col min="13574" max="13824" width="8.7265625" style="2"/>
    <col min="13825" max="13825" width="100.26953125" style="2" customWidth="1"/>
    <col min="13826" max="13826" width="64.1796875" style="2" customWidth="1"/>
    <col min="13827" max="13828" width="8.7265625" style="2"/>
    <col min="13829" max="13829" width="15.1796875" style="2" customWidth="1"/>
    <col min="13830" max="14080" width="8.7265625" style="2"/>
    <col min="14081" max="14081" width="100.26953125" style="2" customWidth="1"/>
    <col min="14082" max="14082" width="64.1796875" style="2" customWidth="1"/>
    <col min="14083" max="14084" width="8.7265625" style="2"/>
    <col min="14085" max="14085" width="15.1796875" style="2" customWidth="1"/>
    <col min="14086" max="14336" width="8.7265625" style="2"/>
    <col min="14337" max="14337" width="100.26953125" style="2" customWidth="1"/>
    <col min="14338" max="14338" width="64.1796875" style="2" customWidth="1"/>
    <col min="14339" max="14340" width="8.7265625" style="2"/>
    <col min="14341" max="14341" width="15.1796875" style="2" customWidth="1"/>
    <col min="14342" max="14592" width="8.7265625" style="2"/>
    <col min="14593" max="14593" width="100.26953125" style="2" customWidth="1"/>
    <col min="14594" max="14594" width="64.1796875" style="2" customWidth="1"/>
    <col min="14595" max="14596" width="8.7265625" style="2"/>
    <col min="14597" max="14597" width="15.1796875" style="2" customWidth="1"/>
    <col min="14598" max="14848" width="8.7265625" style="2"/>
    <col min="14849" max="14849" width="100.26953125" style="2" customWidth="1"/>
    <col min="14850" max="14850" width="64.1796875" style="2" customWidth="1"/>
    <col min="14851" max="14852" width="8.7265625" style="2"/>
    <col min="14853" max="14853" width="15.1796875" style="2" customWidth="1"/>
    <col min="14854" max="15104" width="8.7265625" style="2"/>
    <col min="15105" max="15105" width="100.26953125" style="2" customWidth="1"/>
    <col min="15106" max="15106" width="64.1796875" style="2" customWidth="1"/>
    <col min="15107" max="15108" width="8.7265625" style="2"/>
    <col min="15109" max="15109" width="15.1796875" style="2" customWidth="1"/>
    <col min="15110" max="15360" width="8.7265625" style="2"/>
    <col min="15361" max="15361" width="100.26953125" style="2" customWidth="1"/>
    <col min="15362" max="15362" width="64.1796875" style="2" customWidth="1"/>
    <col min="15363" max="15364" width="8.7265625" style="2"/>
    <col min="15365" max="15365" width="15.1796875" style="2" customWidth="1"/>
    <col min="15366" max="15616" width="8.7265625" style="2"/>
    <col min="15617" max="15617" width="100.26953125" style="2" customWidth="1"/>
    <col min="15618" max="15618" width="64.1796875" style="2" customWidth="1"/>
    <col min="15619" max="15620" width="8.7265625" style="2"/>
    <col min="15621" max="15621" width="15.1796875" style="2" customWidth="1"/>
    <col min="15622" max="15872" width="8.7265625" style="2"/>
    <col min="15873" max="15873" width="100.26953125" style="2" customWidth="1"/>
    <col min="15874" max="15874" width="64.1796875" style="2" customWidth="1"/>
    <col min="15875" max="15876" width="8.7265625" style="2"/>
    <col min="15877" max="15877" width="15.1796875" style="2" customWidth="1"/>
    <col min="15878" max="16128" width="8.7265625" style="2"/>
    <col min="16129" max="16129" width="100.26953125" style="2" customWidth="1"/>
    <col min="16130" max="16130" width="64.1796875" style="2" customWidth="1"/>
    <col min="16131" max="16132" width="8.7265625" style="2"/>
    <col min="16133" max="16133" width="15.1796875" style="2" customWidth="1"/>
    <col min="16134" max="16384" width="8.7265625" style="2"/>
  </cols>
  <sheetData>
    <row r="1" spans="1:2" ht="14" x14ac:dyDescent="0.25">
      <c r="A1" s="1"/>
    </row>
    <row r="2" spans="1:2" ht="17.5" x14ac:dyDescent="0.25">
      <c r="A2" s="3" t="s">
        <v>0</v>
      </c>
    </row>
    <row r="3" spans="1:2" ht="15.5" x14ac:dyDescent="0.35">
      <c r="A3" s="4" t="s">
        <v>1</v>
      </c>
      <c r="B3" s="5"/>
    </row>
    <row r="4" spans="1:2" ht="30" x14ac:dyDescent="0.35">
      <c r="A4" s="6" t="s">
        <v>2</v>
      </c>
      <c r="B4" s="5"/>
    </row>
    <row r="5" spans="1:2" ht="15.5" x14ac:dyDescent="0.35">
      <c r="A5" s="7" t="s">
        <v>3</v>
      </c>
      <c r="B5" s="5"/>
    </row>
    <row r="6" spans="1:2" ht="15.5" x14ac:dyDescent="0.35">
      <c r="A6" s="8" t="s">
        <v>4</v>
      </c>
      <c r="B6" s="5"/>
    </row>
    <row r="7" spans="1:2" ht="15.5" x14ac:dyDescent="0.35">
      <c r="A7" s="9"/>
      <c r="B7" s="5"/>
    </row>
    <row r="8" spans="1:2" ht="15.5" x14ac:dyDescent="0.35">
      <c r="A8" s="10" t="s">
        <v>5</v>
      </c>
      <c r="B8" s="5"/>
    </row>
    <row r="9" spans="1:2" ht="15.5" x14ac:dyDescent="0.35">
      <c r="A9" s="11" t="s">
        <v>6</v>
      </c>
      <c r="B9" s="5"/>
    </row>
    <row r="10" spans="1:2" ht="15.5" x14ac:dyDescent="0.35">
      <c r="A10" s="7" t="s">
        <v>7</v>
      </c>
      <c r="B10" s="5"/>
    </row>
    <row r="11" spans="1:2" ht="31" x14ac:dyDescent="0.35">
      <c r="A11" s="7" t="s">
        <v>8</v>
      </c>
      <c r="B11" s="5"/>
    </row>
    <row r="12" spans="1:2" ht="31" x14ac:dyDescent="0.35">
      <c r="A12" s="7" t="s">
        <v>9</v>
      </c>
      <c r="B12" s="5"/>
    </row>
    <row r="13" spans="1:2" ht="62" x14ac:dyDescent="0.35">
      <c r="A13" s="7" t="s">
        <v>10</v>
      </c>
      <c r="B13" s="5"/>
    </row>
    <row r="14" spans="1:2" ht="15.5" x14ac:dyDescent="0.35">
      <c r="A14" s="11" t="s">
        <v>11</v>
      </c>
      <c r="B14" s="5"/>
    </row>
    <row r="15" spans="1:2" ht="15.5" x14ac:dyDescent="0.35">
      <c r="A15" s="7" t="s">
        <v>12</v>
      </c>
      <c r="B15" s="5"/>
    </row>
    <row r="16" spans="1:2" ht="15.5" x14ac:dyDescent="0.35">
      <c r="A16" s="7" t="s">
        <v>13</v>
      </c>
      <c r="B16" s="5"/>
    </row>
    <row r="17" spans="1:2" ht="15.5" x14ac:dyDescent="0.35">
      <c r="A17" s="7" t="s">
        <v>14</v>
      </c>
      <c r="B17" s="5"/>
    </row>
    <row r="18" spans="1:2" ht="15.5" x14ac:dyDescent="0.35">
      <c r="A18" s="7" t="s">
        <v>15</v>
      </c>
      <c r="B18" s="5"/>
    </row>
    <row r="19" spans="1:2" ht="15.5" x14ac:dyDescent="0.35">
      <c r="A19" s="7" t="s">
        <v>16</v>
      </c>
      <c r="B19" s="5"/>
    </row>
    <row r="20" spans="1:2" ht="15.5" x14ac:dyDescent="0.35">
      <c r="A20" s="7" t="s">
        <v>17</v>
      </c>
      <c r="B20" s="5"/>
    </row>
    <row r="21" spans="1:2" ht="15.5" x14ac:dyDescent="0.35">
      <c r="A21" s="7" t="s">
        <v>18</v>
      </c>
      <c r="B21" s="5"/>
    </row>
    <row r="22" spans="1:2" ht="31" x14ac:dyDescent="0.35">
      <c r="A22" s="7" t="s">
        <v>19</v>
      </c>
      <c r="B22" s="5"/>
    </row>
    <row r="23" spans="1:2" ht="15.5" x14ac:dyDescent="0.35">
      <c r="A23" s="11" t="s">
        <v>20</v>
      </c>
      <c r="B23" s="5"/>
    </row>
    <row r="24" spans="1:2" ht="46.5" x14ac:dyDescent="0.35">
      <c r="A24" s="7" t="s">
        <v>21</v>
      </c>
      <c r="B24" s="5"/>
    </row>
    <row r="25" spans="1:2" ht="31" x14ac:dyDescent="0.35">
      <c r="A25" s="7" t="s">
        <v>22</v>
      </c>
      <c r="B25" s="5"/>
    </row>
    <row r="26" spans="1:2" ht="15.5" x14ac:dyDescent="0.35">
      <c r="A26" s="11" t="s">
        <v>23</v>
      </c>
      <c r="B26" s="5"/>
    </row>
    <row r="27" spans="1:2" ht="46.5" x14ac:dyDescent="0.35">
      <c r="A27" s="7" t="s">
        <v>24</v>
      </c>
      <c r="B27" s="5"/>
    </row>
    <row r="28" spans="1:2" ht="77.5" x14ac:dyDescent="0.35">
      <c r="A28" s="7" t="s">
        <v>25</v>
      </c>
      <c r="B28" s="5"/>
    </row>
    <row r="29" spans="1:2" ht="31" x14ac:dyDescent="0.35">
      <c r="A29" s="7" t="s">
        <v>26</v>
      </c>
      <c r="B29" s="5"/>
    </row>
    <row r="30" spans="1:2" ht="46.5" x14ac:dyDescent="0.35">
      <c r="A30" s="7" t="s">
        <v>27</v>
      </c>
      <c r="B30" s="5"/>
    </row>
    <row r="31" spans="1:2" ht="93" x14ac:dyDescent="0.35">
      <c r="A31" s="7" t="s">
        <v>28</v>
      </c>
      <c r="B31" s="5"/>
    </row>
    <row r="32" spans="1:2" ht="15.5" x14ac:dyDescent="0.35">
      <c r="A32" s="10" t="s">
        <v>29</v>
      </c>
      <c r="B32" s="5"/>
    </row>
    <row r="33" spans="1:2" ht="15.5" x14ac:dyDescent="0.35">
      <c r="A33" s="11" t="s">
        <v>30</v>
      </c>
      <c r="B33" s="5"/>
    </row>
    <row r="34" spans="1:2" ht="62" x14ac:dyDescent="0.35">
      <c r="A34" s="7" t="s">
        <v>31</v>
      </c>
      <c r="B34" s="5"/>
    </row>
    <row r="35" spans="1:2" ht="46.5" x14ac:dyDescent="0.35">
      <c r="A35" s="7" t="s">
        <v>32</v>
      </c>
      <c r="B35" s="5"/>
    </row>
    <row r="36" spans="1:2" ht="31" x14ac:dyDescent="0.35">
      <c r="A36" s="7" t="s">
        <v>33</v>
      </c>
      <c r="B36" s="5"/>
    </row>
    <row r="37" spans="1:2" ht="15.5" x14ac:dyDescent="0.35">
      <c r="A37" s="7" t="s">
        <v>34</v>
      </c>
      <c r="B37" s="5"/>
    </row>
    <row r="38" spans="1:2" ht="15.5" x14ac:dyDescent="0.35">
      <c r="A38" s="7" t="s">
        <v>35</v>
      </c>
      <c r="B38" s="5"/>
    </row>
    <row r="39" spans="1:2" ht="46.5" x14ac:dyDescent="0.35">
      <c r="A39" s="7" t="s">
        <v>36</v>
      </c>
      <c r="B39" s="5"/>
    </row>
    <row r="40" spans="1:2" ht="46.5" x14ac:dyDescent="0.35">
      <c r="A40" s="7" t="s">
        <v>37</v>
      </c>
      <c r="B40" s="5"/>
    </row>
    <row r="41" spans="1:2" ht="15.5" x14ac:dyDescent="0.35">
      <c r="A41" s="11" t="s">
        <v>38</v>
      </c>
      <c r="B41" s="5"/>
    </row>
    <row r="42" spans="1:2" ht="31" x14ac:dyDescent="0.35">
      <c r="A42" s="7" t="s">
        <v>39</v>
      </c>
      <c r="B42" s="5"/>
    </row>
    <row r="43" spans="1:2" ht="77.5" x14ac:dyDescent="0.35">
      <c r="A43" s="7" t="s">
        <v>40</v>
      </c>
      <c r="B43" s="5"/>
    </row>
    <row r="44" spans="1:2" ht="62" x14ac:dyDescent="0.35">
      <c r="A44" s="7" t="s">
        <v>41</v>
      </c>
      <c r="B44" s="5"/>
    </row>
    <row r="45" spans="1:2" ht="31" x14ac:dyDescent="0.35">
      <c r="A45" s="7" t="s">
        <v>42</v>
      </c>
      <c r="B45" s="5"/>
    </row>
    <row r="46" spans="1:2" ht="15.5" x14ac:dyDescent="0.35">
      <c r="A46" s="11" t="s">
        <v>43</v>
      </c>
      <c r="B46" s="5"/>
    </row>
    <row r="47" spans="1:2" ht="31" x14ac:dyDescent="0.35">
      <c r="A47" s="10" t="s">
        <v>44</v>
      </c>
      <c r="B47" s="5"/>
    </row>
    <row r="48" spans="1:2" ht="62" x14ac:dyDescent="0.35">
      <c r="A48" s="7" t="s">
        <v>45</v>
      </c>
      <c r="B48" s="5"/>
    </row>
    <row r="49" spans="1:2" ht="46.5" x14ac:dyDescent="0.35">
      <c r="A49" s="7" t="s">
        <v>46</v>
      </c>
      <c r="B49" s="5"/>
    </row>
    <row r="50" spans="1:2" ht="31" x14ac:dyDescent="0.35">
      <c r="A50" s="7" t="s">
        <v>47</v>
      </c>
      <c r="B50" s="5"/>
    </row>
    <row r="51" spans="1:2" ht="46.5" x14ac:dyDescent="0.35">
      <c r="A51" s="7" t="s">
        <v>48</v>
      </c>
      <c r="B51" s="5"/>
    </row>
    <row r="52" spans="1:2" ht="15.5" x14ac:dyDescent="0.35">
      <c r="A52" s="10" t="s">
        <v>49</v>
      </c>
      <c r="B52" s="5"/>
    </row>
    <row r="53" spans="1:2" ht="15.5" x14ac:dyDescent="0.35">
      <c r="A53" s="11" t="s">
        <v>50</v>
      </c>
      <c r="B53" s="5"/>
    </row>
    <row r="54" spans="1:2" ht="15.5" x14ac:dyDescent="0.35">
      <c r="A54" s="7" t="s">
        <v>51</v>
      </c>
      <c r="B54" s="5"/>
    </row>
    <row r="55" spans="1:2" ht="15.5" x14ac:dyDescent="0.35">
      <c r="A55" s="7" t="s">
        <v>52</v>
      </c>
      <c r="B55" s="5"/>
    </row>
    <row r="56" spans="1:2" ht="46.5" x14ac:dyDescent="0.35">
      <c r="A56" s="7" t="s">
        <v>53</v>
      </c>
      <c r="B56" s="5"/>
    </row>
    <row r="57" spans="1:2" ht="62" x14ac:dyDescent="0.35">
      <c r="A57" s="7" t="s">
        <v>54</v>
      </c>
      <c r="B57" s="5"/>
    </row>
    <row r="58" spans="1:2" ht="62" x14ac:dyDescent="0.35">
      <c r="A58" s="7" t="s">
        <v>55</v>
      </c>
      <c r="B58" s="5"/>
    </row>
    <row r="59" spans="1:2" ht="31" x14ac:dyDescent="0.35">
      <c r="A59" s="12" t="s">
        <v>56</v>
      </c>
      <c r="B59" s="5"/>
    </row>
    <row r="60" spans="1:2" ht="15.5" x14ac:dyDescent="0.35">
      <c r="A60" s="7" t="s">
        <v>57</v>
      </c>
      <c r="B60" s="5"/>
    </row>
    <row r="61" spans="1:2" ht="31" x14ac:dyDescent="0.35">
      <c r="A61" s="7" t="s">
        <v>58</v>
      </c>
      <c r="B61" s="5"/>
    </row>
    <row r="62" spans="1:2" ht="15.5" x14ac:dyDescent="0.35">
      <c r="A62" s="7" t="s">
        <v>59</v>
      </c>
      <c r="B62" s="5"/>
    </row>
    <row r="63" spans="1:2" ht="31" x14ac:dyDescent="0.35">
      <c r="A63" s="7" t="s">
        <v>60</v>
      </c>
      <c r="B63" s="5"/>
    </row>
    <row r="64" spans="1:2" ht="15.5" x14ac:dyDescent="0.35">
      <c r="A64" s="7" t="s">
        <v>61</v>
      </c>
      <c r="B64" s="5"/>
    </row>
    <row r="65" spans="1:2" ht="15.5" x14ac:dyDescent="0.35">
      <c r="A65" s="7" t="s">
        <v>62</v>
      </c>
      <c r="B65" s="5"/>
    </row>
    <row r="66" spans="1:2" ht="15.5" x14ac:dyDescent="0.35">
      <c r="A66" s="11" t="s">
        <v>63</v>
      </c>
      <c r="B66" s="5"/>
    </row>
    <row r="67" spans="1:2" ht="31" x14ac:dyDescent="0.35">
      <c r="A67" s="12" t="s">
        <v>64</v>
      </c>
      <c r="B67" s="5"/>
    </row>
    <row r="68" spans="1:2" ht="62" x14ac:dyDescent="0.35">
      <c r="A68" s="13" t="s">
        <v>65</v>
      </c>
      <c r="B68" s="5"/>
    </row>
    <row r="69" spans="1:2" ht="31" x14ac:dyDescent="0.35">
      <c r="A69" s="7" t="s">
        <v>66</v>
      </c>
      <c r="B69" s="5"/>
    </row>
    <row r="70" spans="1:2" ht="15.5" x14ac:dyDescent="0.35">
      <c r="A70" s="7" t="s">
        <v>67</v>
      </c>
      <c r="B70" s="5"/>
    </row>
    <row r="71" spans="1:2" ht="15.5" x14ac:dyDescent="0.35">
      <c r="A71" s="7" t="s">
        <v>68</v>
      </c>
      <c r="B71" s="5"/>
    </row>
    <row r="72" spans="1:2" ht="15.5" x14ac:dyDescent="0.35">
      <c r="A72" s="7" t="s">
        <v>69</v>
      </c>
      <c r="B72" s="5"/>
    </row>
    <row r="73" spans="1:2" ht="15.5" x14ac:dyDescent="0.35">
      <c r="A73" s="9" t="s">
        <v>70</v>
      </c>
      <c r="B73" s="5"/>
    </row>
    <row r="74" spans="1:2" ht="15.5" x14ac:dyDescent="0.35">
      <c r="A74" s="9" t="s">
        <v>71</v>
      </c>
      <c r="B74" s="5"/>
    </row>
    <row r="75" spans="1:2" ht="62" x14ac:dyDescent="0.35">
      <c r="A75" s="11" t="s">
        <v>72</v>
      </c>
      <c r="B75" s="5"/>
    </row>
    <row r="76" spans="1:2" ht="15.5" x14ac:dyDescent="0.35">
      <c r="A76" s="10" t="s">
        <v>73</v>
      </c>
      <c r="B76" s="5"/>
    </row>
    <row r="77" spans="1:2" ht="15.5" x14ac:dyDescent="0.35">
      <c r="A77" s="7" t="s">
        <v>74</v>
      </c>
      <c r="B77" s="5"/>
    </row>
    <row r="78" spans="1:2" ht="15.5" x14ac:dyDescent="0.35">
      <c r="A78" s="11" t="s">
        <v>75</v>
      </c>
      <c r="B78" s="5"/>
    </row>
    <row r="79" spans="1:2" ht="15.5" x14ac:dyDescent="0.35">
      <c r="A79" s="10" t="s">
        <v>76</v>
      </c>
      <c r="B79" s="5"/>
    </row>
    <row r="80" spans="1:2" ht="46.5" x14ac:dyDescent="0.35">
      <c r="A80" s="7" t="s">
        <v>77</v>
      </c>
      <c r="B80" s="5"/>
    </row>
    <row r="81" spans="1:5" ht="15.5" x14ac:dyDescent="0.35">
      <c r="A81" s="9" t="s">
        <v>78</v>
      </c>
      <c r="B81" s="5"/>
    </row>
    <row r="82" spans="1:5" ht="77.5" x14ac:dyDescent="0.35">
      <c r="A82" s="9" t="s">
        <v>79</v>
      </c>
      <c r="B82" s="5"/>
    </row>
    <row r="83" spans="1:5" ht="15.5" x14ac:dyDescent="0.35">
      <c r="A83" s="14" t="s">
        <v>80</v>
      </c>
      <c r="B83" s="5"/>
    </row>
    <row r="84" spans="1:5" ht="15.5" x14ac:dyDescent="0.35">
      <c r="A84" s="7" t="s">
        <v>81</v>
      </c>
      <c r="B84" s="5"/>
    </row>
    <row r="85" spans="1:5" ht="15.5" x14ac:dyDescent="0.35">
      <c r="A85" s="9" t="s">
        <v>82</v>
      </c>
      <c r="B85" s="5"/>
    </row>
    <row r="86" spans="1:5" ht="15.5" x14ac:dyDescent="0.35">
      <c r="A86" s="9" t="s">
        <v>83</v>
      </c>
      <c r="B86" s="5"/>
    </row>
    <row r="87" spans="1:5" ht="15.5" x14ac:dyDescent="0.35">
      <c r="A87" s="7" t="s">
        <v>84</v>
      </c>
      <c r="B87" s="5"/>
    </row>
    <row r="88" spans="1:5" ht="15.5" x14ac:dyDescent="0.35">
      <c r="A88" s="7" t="s">
        <v>85</v>
      </c>
      <c r="B88" s="5"/>
    </row>
    <row r="89" spans="1:5" ht="15.5" x14ac:dyDescent="0.35">
      <c r="A89" s="7" t="s">
        <v>86</v>
      </c>
      <c r="B89" s="5" t="s">
        <v>87</v>
      </c>
      <c r="C89" s="2" t="s">
        <v>88</v>
      </c>
    </row>
    <row r="90" spans="1:5" ht="15.5" x14ac:dyDescent="0.35">
      <c r="A90" s="7" t="s">
        <v>89</v>
      </c>
      <c r="B90" s="5" t="s">
        <v>90</v>
      </c>
    </row>
    <row r="91" spans="1:5" ht="15.5" x14ac:dyDescent="0.35">
      <c r="A91" s="15">
        <v>45658</v>
      </c>
      <c r="B91" s="5" t="s">
        <v>91</v>
      </c>
      <c r="C91" s="2">
        <v>2</v>
      </c>
    </row>
    <row r="92" spans="1:5" ht="15.5" x14ac:dyDescent="0.35">
      <c r="A92" s="15">
        <v>45689</v>
      </c>
      <c r="B92" s="5" t="s">
        <v>92</v>
      </c>
      <c r="C92" s="2">
        <v>3</v>
      </c>
    </row>
    <row r="93" spans="1:5" ht="15.5" x14ac:dyDescent="0.35">
      <c r="A93" s="16">
        <v>45717</v>
      </c>
      <c r="B93" s="5" t="s">
        <v>93</v>
      </c>
      <c r="C93" s="2">
        <v>5</v>
      </c>
    </row>
    <row r="94" spans="1:5" ht="16" thickBot="1" x14ac:dyDescent="0.4">
      <c r="A94" s="17">
        <v>45748</v>
      </c>
      <c r="B94" s="5" t="e">
        <f>- při ráně pronikající do kloubu</f>
        <v>#NAME?</v>
      </c>
      <c r="C94" s="2" t="s">
        <v>94</v>
      </c>
    </row>
    <row r="95" spans="1:5" ht="16" thickBot="1" x14ac:dyDescent="0.3">
      <c r="A95" s="18">
        <v>45778</v>
      </c>
      <c r="B95" s="19" t="e">
        <f>- při ráně pronikající do tělní dutiny</f>
        <v>#NAME?</v>
      </c>
      <c r="C95" s="20" t="s">
        <v>95</v>
      </c>
      <c r="D95" s="21"/>
      <c r="E95" s="22"/>
    </row>
    <row r="96" spans="1:5" ht="31.5" thickBot="1" x14ac:dyDescent="0.3">
      <c r="A96" s="23">
        <v>45809</v>
      </c>
      <c r="B96" s="24" t="s">
        <v>96</v>
      </c>
      <c r="C96" s="25">
        <v>5</v>
      </c>
      <c r="D96" s="26"/>
      <c r="E96" s="27"/>
    </row>
    <row r="97" spans="1:5" ht="31.5" thickBot="1" x14ac:dyDescent="0.3">
      <c r="A97" s="23">
        <v>45839</v>
      </c>
      <c r="B97" s="28" t="s">
        <v>97</v>
      </c>
      <c r="C97" s="29">
        <v>5</v>
      </c>
      <c r="D97" s="30"/>
      <c r="E97" s="31"/>
    </row>
    <row r="98" spans="1:5" ht="16" thickBot="1" x14ac:dyDescent="0.3">
      <c r="A98" s="23">
        <v>45870</v>
      </c>
      <c r="B98" s="28" t="s">
        <v>98</v>
      </c>
      <c r="C98" s="29">
        <v>4</v>
      </c>
      <c r="D98" s="30"/>
      <c r="E98" s="31"/>
    </row>
    <row r="99" spans="1:5" ht="16" thickBot="1" x14ac:dyDescent="0.3">
      <c r="A99" s="23" t="s">
        <v>99</v>
      </c>
      <c r="B99" s="28"/>
      <c r="C99" s="29"/>
      <c r="D99" s="30"/>
      <c r="E99" s="31"/>
    </row>
    <row r="100" spans="1:5" ht="14.5" customHeight="1" thickBot="1" x14ac:dyDescent="0.3">
      <c r="A100" s="23" t="s">
        <v>100</v>
      </c>
      <c r="B100" s="28"/>
      <c r="C100" s="29"/>
      <c r="D100" s="30"/>
      <c r="E100" s="31"/>
    </row>
    <row r="101" spans="1:5" ht="14.5" customHeight="1" thickBot="1" x14ac:dyDescent="0.3">
      <c r="A101" s="23">
        <v>45901</v>
      </c>
      <c r="B101" s="28" t="s">
        <v>101</v>
      </c>
      <c r="C101" s="29">
        <v>6</v>
      </c>
      <c r="D101" s="30"/>
      <c r="E101" s="31"/>
    </row>
    <row r="102" spans="1:5" ht="84.5" thickBot="1" x14ac:dyDescent="0.3">
      <c r="A102" s="23">
        <v>45931</v>
      </c>
      <c r="B102" s="28" t="s">
        <v>102</v>
      </c>
      <c r="C102" s="29" t="s">
        <v>103</v>
      </c>
      <c r="D102" s="30"/>
      <c r="E102" s="31"/>
    </row>
    <row r="103" spans="1:5" ht="84.5" thickBot="1" x14ac:dyDescent="0.3">
      <c r="A103" s="23">
        <v>45962</v>
      </c>
      <c r="B103" s="28" t="s">
        <v>104</v>
      </c>
      <c r="C103" s="29" t="s">
        <v>105</v>
      </c>
      <c r="D103" s="30"/>
      <c r="E103" s="31"/>
    </row>
    <row r="104" spans="1:5" ht="29.5" customHeight="1" x14ac:dyDescent="0.25">
      <c r="A104" s="32">
        <v>45992</v>
      </c>
      <c r="B104" s="33" t="s">
        <v>106</v>
      </c>
      <c r="C104" s="34">
        <v>20</v>
      </c>
      <c r="D104" s="35"/>
      <c r="E104" s="36"/>
    </row>
    <row r="105" spans="1:5" ht="30" customHeight="1" thickBot="1" x14ac:dyDescent="0.3">
      <c r="A105" s="23">
        <v>41275</v>
      </c>
      <c r="B105" s="37" t="s">
        <v>107</v>
      </c>
      <c r="C105" s="38">
        <v>40</v>
      </c>
      <c r="D105" s="39"/>
      <c r="E105" s="40"/>
    </row>
    <row r="106" spans="1:5" ht="31.5" thickBot="1" x14ac:dyDescent="0.3">
      <c r="A106" s="23">
        <v>41640</v>
      </c>
      <c r="B106" s="28" t="s">
        <v>108</v>
      </c>
      <c r="C106" s="29">
        <v>80</v>
      </c>
      <c r="D106" s="30"/>
      <c r="E106" s="31"/>
    </row>
    <row r="107" spans="1:5" ht="42" customHeight="1" thickBot="1" x14ac:dyDescent="0.3">
      <c r="A107" s="23">
        <v>42005</v>
      </c>
      <c r="B107" s="28" t="s">
        <v>109</v>
      </c>
      <c r="C107" s="29" t="s">
        <v>110</v>
      </c>
      <c r="D107" s="30"/>
      <c r="E107" s="31"/>
    </row>
    <row r="108" spans="1:5" ht="28.15" customHeight="1" thickBot="1" x14ac:dyDescent="0.3">
      <c r="A108" s="23" t="s">
        <v>111</v>
      </c>
      <c r="B108" s="28"/>
      <c r="C108" s="29"/>
      <c r="D108" s="30"/>
      <c r="E108" s="31"/>
    </row>
    <row r="109" spans="1:5" ht="84.5" thickBot="1" x14ac:dyDescent="0.3">
      <c r="A109" s="23">
        <v>42370</v>
      </c>
      <c r="B109" s="28" t="s">
        <v>112</v>
      </c>
      <c r="C109" s="29" t="s">
        <v>113</v>
      </c>
      <c r="D109" s="30"/>
      <c r="E109" s="31"/>
    </row>
    <row r="110" spans="1:5" ht="16" thickBot="1" x14ac:dyDescent="0.3">
      <c r="A110" s="41" t="s">
        <v>114</v>
      </c>
      <c r="B110" s="28" t="s">
        <v>115</v>
      </c>
      <c r="C110" s="29"/>
      <c r="D110" s="30"/>
      <c r="E110" s="31"/>
    </row>
    <row r="111" spans="1:5" ht="16" thickBot="1" x14ac:dyDescent="0.3">
      <c r="A111" s="41">
        <v>45659</v>
      </c>
      <c r="B111" s="28" t="s">
        <v>116</v>
      </c>
      <c r="C111" s="29"/>
      <c r="D111" s="30"/>
      <c r="E111" s="31"/>
    </row>
    <row r="112" spans="1:5" ht="36.65" customHeight="1" x14ac:dyDescent="0.25">
      <c r="A112" s="42" t="s">
        <v>117</v>
      </c>
      <c r="B112" s="33">
        <v>30</v>
      </c>
      <c r="C112" s="34"/>
      <c r="D112" s="35"/>
      <c r="E112" s="36"/>
    </row>
    <row r="113" spans="1:5" ht="52.9" customHeight="1" thickBot="1" x14ac:dyDescent="0.3">
      <c r="A113" s="41">
        <v>45690</v>
      </c>
      <c r="B113" s="37" t="e">
        <f>- s porušením slzných cest</f>
        <v>#NAME?</v>
      </c>
      <c r="C113" s="38">
        <v>40</v>
      </c>
      <c r="D113" s="39"/>
      <c r="E113" s="40"/>
    </row>
    <row r="114" spans="1:5" ht="16.899999999999999" customHeight="1" thickBot="1" x14ac:dyDescent="0.3">
      <c r="A114" s="41">
        <v>45718</v>
      </c>
      <c r="B114" s="28" t="s">
        <v>118</v>
      </c>
      <c r="C114" s="29" t="s">
        <v>119</v>
      </c>
      <c r="D114" s="30"/>
      <c r="E114" s="31"/>
    </row>
    <row r="115" spans="1:5" ht="16" thickBot="1" x14ac:dyDescent="0.3">
      <c r="A115" s="23">
        <v>45749</v>
      </c>
      <c r="B115" s="24" t="s">
        <v>120</v>
      </c>
      <c r="C115" s="25" t="s">
        <v>121</v>
      </c>
      <c r="D115" s="26"/>
      <c r="E115" s="27"/>
    </row>
    <row r="116" spans="1:5" ht="15.5" x14ac:dyDescent="0.25">
      <c r="A116" s="32">
        <v>45779</v>
      </c>
      <c r="B116" s="43" t="s">
        <v>122</v>
      </c>
      <c r="C116" s="34">
        <v>100</v>
      </c>
      <c r="D116" s="35"/>
      <c r="E116" s="36"/>
    </row>
    <row r="117" spans="1:5" ht="16" thickBot="1" x14ac:dyDescent="0.3">
      <c r="A117" s="23">
        <v>45810</v>
      </c>
      <c r="B117" s="28" t="s">
        <v>123</v>
      </c>
      <c r="C117" s="38" t="s">
        <v>124</v>
      </c>
      <c r="D117" s="39"/>
      <c r="E117" s="40"/>
    </row>
    <row r="118" spans="1:5" ht="16" thickBot="1" x14ac:dyDescent="0.3">
      <c r="A118" s="23">
        <v>45840</v>
      </c>
      <c r="B118" s="28" t="e">
        <f>- celého</f>
        <v>#NAME?</v>
      </c>
      <c r="C118" s="29">
        <v>100</v>
      </c>
      <c r="D118" s="30"/>
      <c r="E118" s="31"/>
    </row>
    <row r="119" spans="1:5" ht="16" thickBot="1" x14ac:dyDescent="0.3">
      <c r="A119" s="23">
        <v>45871</v>
      </c>
      <c r="B119" s="28" t="s">
        <v>125</v>
      </c>
      <c r="C119" s="29" t="s">
        <v>126</v>
      </c>
      <c r="D119" s="30"/>
      <c r="E119" s="31"/>
    </row>
    <row r="120" spans="1:5" ht="16" thickBot="1" x14ac:dyDescent="0.3">
      <c r="A120" s="23">
        <v>45902</v>
      </c>
      <c r="B120" s="28" t="e">
        <f>- celého</f>
        <v>#NAME?</v>
      </c>
      <c r="C120" s="29">
        <v>120</v>
      </c>
      <c r="D120" s="30"/>
      <c r="E120" s="31"/>
    </row>
    <row r="121" spans="1:5" ht="16" thickBot="1" x14ac:dyDescent="0.3">
      <c r="A121" s="23">
        <v>45932</v>
      </c>
      <c r="B121" s="28" t="s">
        <v>127</v>
      </c>
      <c r="C121" s="29" t="s">
        <v>128</v>
      </c>
      <c r="D121" s="30"/>
      <c r="E121" s="31"/>
    </row>
    <row r="122" spans="1:5" ht="16" thickBot="1" x14ac:dyDescent="0.3">
      <c r="A122" s="23">
        <v>45963</v>
      </c>
      <c r="B122" s="28" t="e">
        <f>- celého</f>
        <v>#NAME?</v>
      </c>
      <c r="C122" s="29">
        <v>150</v>
      </c>
      <c r="D122" s="30"/>
      <c r="E122" s="31"/>
    </row>
    <row r="123" spans="1:5" ht="16" thickBot="1" x14ac:dyDescent="0.3">
      <c r="A123" s="23">
        <v>45993</v>
      </c>
      <c r="B123" s="28" t="s">
        <v>129</v>
      </c>
      <c r="C123" s="29">
        <v>70</v>
      </c>
      <c r="D123" s="30"/>
      <c r="E123" s="31"/>
    </row>
    <row r="124" spans="1:5" ht="16" thickBot="1" x14ac:dyDescent="0.3">
      <c r="A124" s="23">
        <v>41306</v>
      </c>
      <c r="B124" s="28" t="s">
        <v>130</v>
      </c>
      <c r="C124" s="29">
        <v>60</v>
      </c>
      <c r="D124" s="30"/>
      <c r="E124" s="31"/>
    </row>
    <row r="125" spans="1:5" ht="16" thickBot="1" x14ac:dyDescent="0.3">
      <c r="A125" s="23">
        <v>41671</v>
      </c>
      <c r="B125" s="28" t="s">
        <v>131</v>
      </c>
      <c r="C125" s="29">
        <v>80</v>
      </c>
      <c r="D125" s="30"/>
      <c r="E125" s="31"/>
    </row>
    <row r="126" spans="1:5" ht="16" thickBot="1" x14ac:dyDescent="0.3">
      <c r="A126" s="23">
        <v>42036</v>
      </c>
      <c r="B126" s="28" t="s">
        <v>132</v>
      </c>
      <c r="C126" s="29">
        <v>100</v>
      </c>
      <c r="D126" s="30"/>
      <c r="E126" s="31"/>
    </row>
    <row r="127" spans="1:5" ht="16" thickBot="1" x14ac:dyDescent="0.3">
      <c r="A127" s="23" t="s">
        <v>133</v>
      </c>
      <c r="B127" s="28" t="s">
        <v>134</v>
      </c>
      <c r="C127" s="29"/>
      <c r="D127" s="30"/>
      <c r="E127" s="31"/>
    </row>
    <row r="128" spans="1:5" ht="16" thickBot="1" x14ac:dyDescent="0.3">
      <c r="A128" s="23">
        <v>45660</v>
      </c>
      <c r="B128" s="28" t="s">
        <v>135</v>
      </c>
      <c r="C128" s="29">
        <v>20</v>
      </c>
      <c r="D128" s="30"/>
      <c r="E128" s="31"/>
    </row>
    <row r="129" spans="1:5" ht="16" thickBot="1" x14ac:dyDescent="0.3">
      <c r="A129" s="41">
        <v>45691</v>
      </c>
      <c r="B129" s="28" t="e">
        <f>- imprese</f>
        <v>#NAME?</v>
      </c>
      <c r="C129" s="29">
        <v>40</v>
      </c>
      <c r="D129" s="30"/>
      <c r="E129" s="31"/>
    </row>
    <row r="130" spans="1:5" ht="16" thickBot="1" x14ac:dyDescent="0.3">
      <c r="A130" s="41">
        <v>45719</v>
      </c>
      <c r="B130" s="28" t="e">
        <f>- tříštivá bez posunu</f>
        <v>#NAME?</v>
      </c>
      <c r="C130" s="29">
        <v>70</v>
      </c>
      <c r="D130" s="30"/>
      <c r="E130" s="31"/>
    </row>
    <row r="131" spans="1:5" ht="16" thickBot="1" x14ac:dyDescent="0.3">
      <c r="A131" s="41">
        <v>45750</v>
      </c>
      <c r="B131" s="28" t="e">
        <f>- s posunem</f>
        <v>#NAME?</v>
      </c>
      <c r="C131" s="29">
        <v>100</v>
      </c>
      <c r="D131" s="30"/>
      <c r="E131" s="31"/>
    </row>
    <row r="132" spans="1:5" ht="16" thickBot="1" x14ac:dyDescent="0.3">
      <c r="A132" s="23">
        <v>45780</v>
      </c>
      <c r="B132" s="24" t="s">
        <v>136</v>
      </c>
      <c r="C132" s="25">
        <v>100</v>
      </c>
      <c r="D132" s="26"/>
      <c r="E132" s="27"/>
    </row>
    <row r="133" spans="1:5" ht="16" thickBot="1" x14ac:dyDescent="0.3">
      <c r="A133" s="23">
        <v>45811</v>
      </c>
      <c r="B133" s="28" t="e">
        <f>- s liquorrheou</f>
        <v>#NAME?</v>
      </c>
      <c r="C133" s="29">
        <v>200</v>
      </c>
      <c r="D133" s="30"/>
      <c r="E133" s="31"/>
    </row>
    <row r="134" spans="1:5" ht="16" thickBot="1" x14ac:dyDescent="0.3">
      <c r="A134" s="23">
        <v>45841</v>
      </c>
      <c r="B134" s="28" t="s">
        <v>137</v>
      </c>
      <c r="C134" s="29">
        <v>20</v>
      </c>
      <c r="D134" s="30"/>
      <c r="E134" s="31"/>
    </row>
    <row r="135" spans="1:5" ht="16" thickBot="1" x14ac:dyDescent="0.3">
      <c r="A135" s="23">
        <v>45872</v>
      </c>
      <c r="B135" s="28" t="e">
        <f>- s posunem</f>
        <v>#NAME?</v>
      </c>
      <c r="C135" s="29">
        <v>40</v>
      </c>
      <c r="D135" s="30"/>
      <c r="E135" s="31"/>
    </row>
    <row r="136" spans="1:5" ht="16" thickBot="1" x14ac:dyDescent="0.3">
      <c r="A136" s="23">
        <v>45903</v>
      </c>
      <c r="B136" s="28" t="s">
        <v>138</v>
      </c>
      <c r="C136" s="29">
        <v>40</v>
      </c>
      <c r="D136" s="30"/>
      <c r="E136" s="31"/>
    </row>
    <row r="137" spans="1:5" ht="16" thickBot="1" x14ac:dyDescent="0.3">
      <c r="A137" s="23">
        <v>45933</v>
      </c>
      <c r="B137" s="28" t="s">
        <v>139</v>
      </c>
      <c r="C137" s="29">
        <v>60</v>
      </c>
      <c r="D137" s="30"/>
      <c r="E137" s="31"/>
    </row>
    <row r="138" spans="1:5" ht="16" thickBot="1" x14ac:dyDescent="0.3">
      <c r="A138" s="23">
        <v>45964</v>
      </c>
      <c r="B138" s="28" t="s">
        <v>140</v>
      </c>
      <c r="C138" s="29" t="s">
        <v>141</v>
      </c>
      <c r="D138" s="30"/>
      <c r="E138" s="31"/>
    </row>
    <row r="139" spans="1:5" ht="16" thickBot="1" x14ac:dyDescent="0.3">
      <c r="A139" s="23">
        <v>45994</v>
      </c>
      <c r="B139" s="28" t="s">
        <v>142</v>
      </c>
      <c r="C139" s="29">
        <v>50</v>
      </c>
      <c r="D139" s="30"/>
      <c r="E139" s="31"/>
    </row>
    <row r="140" spans="1:5" ht="16" thickBot="1" x14ac:dyDescent="0.3">
      <c r="A140" s="23">
        <v>41334</v>
      </c>
      <c r="B140" s="28" t="e">
        <f>- s posunem</f>
        <v>#NAME?</v>
      </c>
      <c r="C140" s="29">
        <v>60</v>
      </c>
      <c r="D140" s="30"/>
      <c r="E140" s="31"/>
    </row>
    <row r="141" spans="1:5" ht="16" thickBot="1" x14ac:dyDescent="0.3">
      <c r="A141" s="23">
        <v>41699</v>
      </c>
      <c r="B141" s="28" t="s">
        <v>143</v>
      </c>
      <c r="C141" s="29">
        <v>20</v>
      </c>
      <c r="D141" s="30"/>
      <c r="E141" s="31"/>
    </row>
    <row r="142" spans="1:5" ht="16" thickBot="1" x14ac:dyDescent="0.3">
      <c r="A142" s="23">
        <v>42064</v>
      </c>
      <c r="B142" s="28" t="e">
        <f>- v zadní části chrupu</f>
        <v>#NAME?</v>
      </c>
      <c r="C142" s="29">
        <v>15</v>
      </c>
      <c r="D142" s="30"/>
      <c r="E142" s="31"/>
    </row>
    <row r="143" spans="1:5" ht="16" thickBot="1" x14ac:dyDescent="0.3">
      <c r="A143" s="23">
        <v>42430</v>
      </c>
      <c r="B143" s="28" t="e">
        <f>- ulomení části zubu</f>
        <v>#NAME?</v>
      </c>
      <c r="C143" s="29">
        <v>10</v>
      </c>
      <c r="D143" s="30"/>
      <c r="E143" s="31"/>
    </row>
    <row r="144" spans="1:5" ht="16" thickBot="1" x14ac:dyDescent="0.3">
      <c r="A144" s="23">
        <v>42795</v>
      </c>
      <c r="B144" s="28" t="s">
        <v>144</v>
      </c>
      <c r="C144" s="29">
        <v>40</v>
      </c>
      <c r="D144" s="30"/>
      <c r="E144" s="31"/>
    </row>
    <row r="145" spans="1:5" ht="16" thickBot="1" x14ac:dyDescent="0.3">
      <c r="A145" s="41">
        <v>43160</v>
      </c>
      <c r="B145" s="28" t="e">
        <f>- s posunem</f>
        <v>#NAME?</v>
      </c>
      <c r="C145" s="29">
        <v>60</v>
      </c>
      <c r="D145" s="30"/>
      <c r="E145" s="31"/>
    </row>
    <row r="146" spans="1:5" ht="16" thickBot="1" x14ac:dyDescent="0.3">
      <c r="A146" s="41">
        <v>43525</v>
      </c>
      <c r="B146" s="28" t="s">
        <v>145</v>
      </c>
      <c r="C146" s="29">
        <v>120</v>
      </c>
      <c r="D146" s="30"/>
      <c r="E146" s="31"/>
    </row>
    <row r="147" spans="1:5" ht="16" thickBot="1" x14ac:dyDescent="0.3">
      <c r="A147" s="41">
        <v>43891</v>
      </c>
      <c r="B147" s="28" t="e">
        <f>- kloubní výběžek -jeden</f>
        <v>#NAME?</v>
      </c>
      <c r="C147" s="29">
        <v>60</v>
      </c>
      <c r="D147" s="30"/>
      <c r="E147" s="31"/>
    </row>
    <row r="148" spans="1:5" ht="16" thickBot="1" x14ac:dyDescent="0.3">
      <c r="A148" s="41">
        <v>44256</v>
      </c>
      <c r="B148" s="28" t="e">
        <f>- dva kloubní výběžky</f>
        <v>#NAME?</v>
      </c>
      <c r="C148" s="29">
        <v>80</v>
      </c>
      <c r="D148" s="30"/>
      <c r="E148" s="31"/>
    </row>
    <row r="149" spans="1:5" ht="31.5" thickBot="1" x14ac:dyDescent="0.3">
      <c r="A149" s="41">
        <v>44621</v>
      </c>
      <c r="B149" s="28" t="s">
        <v>146</v>
      </c>
      <c r="C149" s="29">
        <v>10</v>
      </c>
      <c r="D149" s="30"/>
      <c r="E149" s="31"/>
    </row>
    <row r="150" spans="1:5" ht="168.5" thickBot="1" x14ac:dyDescent="0.3">
      <c r="A150" s="41">
        <v>44986</v>
      </c>
      <c r="B150" s="28" t="s">
        <v>147</v>
      </c>
      <c r="C150" s="29" t="s">
        <v>148</v>
      </c>
      <c r="D150" s="30"/>
      <c r="E150" s="31"/>
    </row>
    <row r="151" spans="1:5" ht="16" thickBot="1" x14ac:dyDescent="0.3">
      <c r="A151" s="41">
        <v>45352</v>
      </c>
      <c r="B151" s="28" t="s">
        <v>149</v>
      </c>
      <c r="C151" s="29">
        <v>40</v>
      </c>
      <c r="D151" s="30"/>
      <c r="E151" s="31"/>
    </row>
    <row r="152" spans="1:5" ht="16" thickBot="1" x14ac:dyDescent="0.3">
      <c r="A152" s="41">
        <v>45717</v>
      </c>
      <c r="B152" s="28" t="e">
        <f>- oboustranné</f>
        <v>#NAME?</v>
      </c>
      <c r="C152" s="29">
        <v>60</v>
      </c>
      <c r="D152" s="30"/>
      <c r="E152" s="31"/>
    </row>
    <row r="153" spans="1:5" ht="16" thickBot="1" x14ac:dyDescent="0.3">
      <c r="A153" s="41">
        <v>46082</v>
      </c>
      <c r="B153" s="28" t="s">
        <v>150</v>
      </c>
      <c r="C153" s="29">
        <v>15</v>
      </c>
      <c r="D153" s="30"/>
      <c r="E153" s="31"/>
    </row>
    <row r="154" spans="1:5" ht="16" thickBot="1" x14ac:dyDescent="0.3">
      <c r="A154" s="41">
        <v>46447</v>
      </c>
      <c r="B154" s="28" t="s">
        <v>151</v>
      </c>
      <c r="C154" s="29">
        <v>15</v>
      </c>
      <c r="D154" s="30"/>
      <c r="E154" s="31"/>
    </row>
    <row r="155" spans="1:5" ht="14.5" customHeight="1" thickBot="1" x14ac:dyDescent="0.3">
      <c r="A155" s="41">
        <v>46813</v>
      </c>
      <c r="B155" s="28" t="s">
        <v>152</v>
      </c>
      <c r="C155" s="29">
        <v>10</v>
      </c>
      <c r="D155" s="30"/>
      <c r="E155" s="31"/>
    </row>
    <row r="156" spans="1:5" ht="210.5" thickBot="1" x14ac:dyDescent="0.3">
      <c r="A156" s="41" t="s">
        <v>153</v>
      </c>
      <c r="B156" s="28" t="s">
        <v>154</v>
      </c>
      <c r="C156" s="29" t="s">
        <v>155</v>
      </c>
      <c r="D156" s="30"/>
      <c r="E156" s="31"/>
    </row>
    <row r="157" spans="1:5" ht="16" thickBot="1" x14ac:dyDescent="0.3">
      <c r="A157" s="41">
        <v>45661</v>
      </c>
      <c r="B157" s="28" t="s">
        <v>156</v>
      </c>
      <c r="C157" s="29">
        <v>150</v>
      </c>
      <c r="D157" s="30"/>
      <c r="E157" s="31"/>
    </row>
    <row r="158" spans="1:5" ht="16" thickBot="1" x14ac:dyDescent="0.3">
      <c r="A158" s="41">
        <v>45692</v>
      </c>
      <c r="B158" s="28" t="s">
        <v>157</v>
      </c>
      <c r="C158" s="29">
        <v>70</v>
      </c>
      <c r="D158" s="30"/>
      <c r="E158" s="31"/>
    </row>
    <row r="159" spans="1:5" ht="16" thickBot="1" x14ac:dyDescent="0.3">
      <c r="A159" s="41">
        <v>45720</v>
      </c>
      <c r="B159" s="28" t="s">
        <v>158</v>
      </c>
      <c r="C159" s="29">
        <v>40</v>
      </c>
      <c r="D159" s="30"/>
      <c r="E159" s="31"/>
    </row>
    <row r="160" spans="1:5" ht="16" thickBot="1" x14ac:dyDescent="0.3">
      <c r="A160" s="41">
        <v>45751</v>
      </c>
      <c r="B160" s="28" t="s">
        <v>159</v>
      </c>
      <c r="C160" s="29">
        <v>80</v>
      </c>
      <c r="D160" s="30"/>
      <c r="E160" s="31"/>
    </row>
    <row r="161" spans="1:5" ht="14.5" customHeight="1" thickBot="1" x14ac:dyDescent="0.3">
      <c r="A161" s="23">
        <v>45781</v>
      </c>
      <c r="B161" s="24" t="s">
        <v>160</v>
      </c>
      <c r="C161" s="29">
        <v>40</v>
      </c>
      <c r="D161" s="30"/>
      <c r="E161" s="31"/>
    </row>
    <row r="162" spans="1:5" ht="16" thickBot="1" x14ac:dyDescent="0.3">
      <c r="A162" s="23">
        <v>45812</v>
      </c>
      <c r="B162" s="28" t="s">
        <v>161</v>
      </c>
      <c r="C162" s="29">
        <v>70</v>
      </c>
      <c r="D162" s="30"/>
      <c r="E162" s="31"/>
    </row>
    <row r="163" spans="1:5" ht="16" thickBot="1" x14ac:dyDescent="0.3">
      <c r="A163" s="23">
        <v>45842</v>
      </c>
      <c r="B163" s="28" t="s">
        <v>162</v>
      </c>
      <c r="C163" s="29" t="s">
        <v>163</v>
      </c>
      <c r="D163" s="30"/>
      <c r="E163" s="31"/>
    </row>
    <row r="164" spans="1:5" ht="31.5" thickBot="1" x14ac:dyDescent="0.3">
      <c r="A164" s="23">
        <v>45873</v>
      </c>
      <c r="B164" s="28" t="s">
        <v>164</v>
      </c>
      <c r="C164" s="29">
        <v>70</v>
      </c>
      <c r="D164" s="30"/>
      <c r="E164" s="31"/>
    </row>
    <row r="165" spans="1:5" ht="31.5" thickBot="1" x14ac:dyDescent="0.3">
      <c r="A165" s="23">
        <v>45904</v>
      </c>
      <c r="B165" s="28" t="s">
        <v>165</v>
      </c>
      <c r="C165" s="29">
        <v>30</v>
      </c>
      <c r="D165" s="30"/>
      <c r="E165" s="31"/>
    </row>
    <row r="166" spans="1:5" ht="16" thickBot="1" x14ac:dyDescent="0.3">
      <c r="A166" s="23" t="s">
        <v>166</v>
      </c>
      <c r="B166" s="28" t="s">
        <v>167</v>
      </c>
      <c r="C166" s="29"/>
      <c r="D166" s="30"/>
      <c r="E166" s="31"/>
    </row>
    <row r="167" spans="1:5" ht="16" thickBot="1" x14ac:dyDescent="0.3">
      <c r="A167" s="23">
        <v>45662</v>
      </c>
      <c r="B167" s="28" t="s">
        <v>168</v>
      </c>
      <c r="C167" s="29">
        <v>20</v>
      </c>
      <c r="D167" s="30"/>
      <c r="E167" s="31"/>
    </row>
    <row r="168" spans="1:5" ht="16" thickBot="1" x14ac:dyDescent="0.3">
      <c r="A168" s="23">
        <v>45693</v>
      </c>
      <c r="B168" s="28" t="s">
        <v>169</v>
      </c>
      <c r="C168" s="29">
        <v>15</v>
      </c>
      <c r="D168" s="30"/>
      <c r="E168" s="31"/>
    </row>
    <row r="169" spans="1:5" ht="16" thickBot="1" x14ac:dyDescent="0.3">
      <c r="A169" s="23">
        <v>45721</v>
      </c>
      <c r="B169" s="28" t="e">
        <f>- s krvácením do přední komory nebo sklivce</f>
        <v>#NAME?</v>
      </c>
      <c r="C169" s="29">
        <v>30</v>
      </c>
      <c r="D169" s="30"/>
      <c r="E169" s="31"/>
    </row>
    <row r="170" spans="1:5" ht="16" thickBot="1" x14ac:dyDescent="0.3">
      <c r="A170" s="23">
        <v>45752</v>
      </c>
      <c r="B170" s="28" t="s">
        <v>170</v>
      </c>
      <c r="C170" s="29">
        <v>50</v>
      </c>
      <c r="D170" s="30"/>
      <c r="E170" s="31"/>
    </row>
    <row r="171" spans="1:5" ht="16" thickBot="1" x14ac:dyDescent="0.3">
      <c r="A171" s="23">
        <v>45782</v>
      </c>
      <c r="B171" s="24" t="e">
        <f>- se změnou polohy nebo poraněním čočky</f>
        <v>#NAME?</v>
      </c>
      <c r="C171" s="25">
        <v>90</v>
      </c>
      <c r="D171" s="26"/>
      <c r="E171" s="27"/>
    </row>
    <row r="172" spans="1:5" ht="16" thickBot="1" x14ac:dyDescent="0.3">
      <c r="A172" s="23">
        <v>45813</v>
      </c>
      <c r="B172" s="28" t="e">
        <f>- s odchlípením sítnice</f>
        <v>#NAME?</v>
      </c>
      <c r="C172" s="29">
        <v>100</v>
      </c>
      <c r="D172" s="30"/>
      <c r="E172" s="31"/>
    </row>
    <row r="173" spans="1:5" ht="16" thickBot="1" x14ac:dyDescent="0.3">
      <c r="A173" s="23">
        <v>45843</v>
      </c>
      <c r="B173" s="28" t="s">
        <v>171</v>
      </c>
      <c r="C173" s="29">
        <v>150</v>
      </c>
      <c r="D173" s="30"/>
      <c r="E173" s="31"/>
    </row>
    <row r="174" spans="1:5" ht="16" thickBot="1" x14ac:dyDescent="0.3">
      <c r="A174" s="23">
        <v>45874</v>
      </c>
      <c r="B174" s="28" t="s">
        <v>172</v>
      </c>
      <c r="C174" s="29">
        <v>120</v>
      </c>
      <c r="D174" s="30"/>
      <c r="E174" s="31"/>
    </row>
    <row r="175" spans="1:5" ht="16" thickBot="1" x14ac:dyDescent="0.3">
      <c r="A175" s="23">
        <v>45905</v>
      </c>
      <c r="B175" s="28" t="s">
        <v>173</v>
      </c>
      <c r="C175" s="29">
        <v>30</v>
      </c>
      <c r="D175" s="30"/>
      <c r="E175" s="31"/>
    </row>
    <row r="176" spans="1:5" ht="16" thickBot="1" x14ac:dyDescent="0.3">
      <c r="A176" s="23">
        <v>45935</v>
      </c>
      <c r="B176" s="28" t="s">
        <v>174</v>
      </c>
      <c r="C176" s="29">
        <v>50</v>
      </c>
      <c r="D176" s="30"/>
      <c r="E176" s="31"/>
    </row>
    <row r="177" spans="1:5" ht="31.5" thickBot="1" x14ac:dyDescent="0.3">
      <c r="A177" s="23">
        <v>45966</v>
      </c>
      <c r="B177" s="28" t="s">
        <v>175</v>
      </c>
      <c r="C177" s="29">
        <v>65</v>
      </c>
      <c r="D177" s="30"/>
      <c r="E177" s="31"/>
    </row>
    <row r="178" spans="1:5" ht="16" thickBot="1" x14ac:dyDescent="0.3">
      <c r="A178" s="23">
        <v>45996</v>
      </c>
      <c r="B178" s="28" t="e">
        <f>- pronikající rohovkou</f>
        <v>#NAME?</v>
      </c>
      <c r="C178" s="29">
        <v>80</v>
      </c>
      <c r="D178" s="30"/>
      <c r="E178" s="31"/>
    </row>
    <row r="179" spans="1:5" ht="16" thickBot="1" x14ac:dyDescent="0.3">
      <c r="A179" s="23">
        <v>41395</v>
      </c>
      <c r="B179" s="28" t="e">
        <f>- komplikovaná poraněním čočky</f>
        <v>#NAME?</v>
      </c>
      <c r="C179" s="29">
        <v>100</v>
      </c>
      <c r="D179" s="30"/>
      <c r="E179" s="31"/>
    </row>
    <row r="180" spans="1:5" ht="16" thickBot="1" x14ac:dyDescent="0.3">
      <c r="A180" s="23">
        <v>41760</v>
      </c>
      <c r="B180" s="28" t="e">
        <f>- pronikající krajinou řasnatého tělesa</f>
        <v>#NAME?</v>
      </c>
      <c r="C180" s="29">
        <v>110</v>
      </c>
      <c r="D180" s="30"/>
      <c r="E180" s="31"/>
    </row>
    <row r="181" spans="1:5" ht="16" thickBot="1" x14ac:dyDescent="0.3">
      <c r="A181" s="23">
        <v>42125</v>
      </c>
      <c r="B181" s="28" t="e">
        <f>- komplikovaná odchlípením sítnice</f>
        <v>#NAME?</v>
      </c>
      <c r="C181" s="29">
        <v>150</v>
      </c>
      <c r="D181" s="30"/>
      <c r="E181" s="31"/>
    </row>
    <row r="182" spans="1:5" ht="31.5" thickBot="1" x14ac:dyDescent="0.3">
      <c r="A182" s="23">
        <v>42491</v>
      </c>
      <c r="B182" s="28" t="s">
        <v>176</v>
      </c>
      <c r="C182" s="29">
        <v>40</v>
      </c>
      <c r="D182" s="30"/>
      <c r="E182" s="31"/>
    </row>
    <row r="183" spans="1:5" ht="16" thickBot="1" x14ac:dyDescent="0.3">
      <c r="A183" s="23">
        <v>42856</v>
      </c>
      <c r="B183" s="28" t="e">
        <f>- pronikající rohovkou bez zasažení čočky</f>
        <v>#NAME?</v>
      </c>
      <c r="C183" s="29">
        <v>60</v>
      </c>
      <c r="D183" s="30"/>
      <c r="E183" s="31"/>
    </row>
    <row r="184" spans="1:5" ht="16" thickBot="1" x14ac:dyDescent="0.3">
      <c r="A184" s="41">
        <v>43221</v>
      </c>
      <c r="B184" s="28" t="e">
        <f>- pronikající rohovkou s postižením čočky</f>
        <v>#NAME?</v>
      </c>
      <c r="C184" s="29">
        <v>90</v>
      </c>
      <c r="D184" s="30"/>
      <c r="E184" s="31"/>
    </row>
    <row r="185" spans="1:5" ht="16" thickBot="1" x14ac:dyDescent="0.3">
      <c r="A185" s="41">
        <v>43586</v>
      </c>
      <c r="B185" s="28" t="e">
        <f>- pronikající krajinou řasnatého tělesa</f>
        <v>#NAME?</v>
      </c>
      <c r="C185" s="29">
        <v>80</v>
      </c>
      <c r="D185" s="30"/>
      <c r="E185" s="31"/>
    </row>
    <row r="186" spans="1:5" ht="16" thickBot="1" x14ac:dyDescent="0.3">
      <c r="A186" s="41">
        <v>43952</v>
      </c>
      <c r="B186" s="28" t="e">
        <f>- komplikovaná odchlípením sítnice</f>
        <v>#NAME?</v>
      </c>
      <c r="C186" s="29">
        <v>120</v>
      </c>
      <c r="D186" s="30"/>
      <c r="E186" s="31"/>
    </row>
    <row r="187" spans="1:5" ht="16" thickBot="1" x14ac:dyDescent="0.3">
      <c r="A187" s="41">
        <v>44317</v>
      </c>
      <c r="B187" s="28" t="e">
        <f>- komplikovaná výhřezem očních tkání</f>
        <v>#NAME?</v>
      </c>
      <c r="C187" s="29">
        <v>150</v>
      </c>
      <c r="D187" s="30"/>
      <c r="E187" s="31"/>
    </row>
    <row r="188" spans="1:5" ht="16" thickBot="1" x14ac:dyDescent="0.3">
      <c r="A188" s="41">
        <v>44682</v>
      </c>
      <c r="B188" s="28" t="s">
        <v>177</v>
      </c>
      <c r="C188" s="29">
        <v>200</v>
      </c>
      <c r="D188" s="30"/>
      <c r="E188" s="31"/>
    </row>
    <row r="189" spans="1:5" ht="16" thickBot="1" x14ac:dyDescent="0.3">
      <c r="A189" s="41">
        <v>45047</v>
      </c>
      <c r="B189" s="28" t="s">
        <v>178</v>
      </c>
      <c r="C189" s="29">
        <v>10</v>
      </c>
      <c r="D189" s="30"/>
      <c r="E189" s="31"/>
    </row>
    <row r="190" spans="1:5" ht="16" thickBot="1" x14ac:dyDescent="0.3">
      <c r="A190" s="41">
        <v>45413</v>
      </c>
      <c r="B190" s="28" t="s">
        <v>179</v>
      </c>
      <c r="C190" s="29">
        <v>15</v>
      </c>
      <c r="D190" s="30"/>
      <c r="E190" s="31"/>
    </row>
    <row r="191" spans="1:5" ht="16" thickBot="1" x14ac:dyDescent="0.3">
      <c r="A191" s="41">
        <v>45778</v>
      </c>
      <c r="B191" s="28" t="s">
        <v>180</v>
      </c>
      <c r="C191" s="29">
        <v>30</v>
      </c>
      <c r="D191" s="30"/>
      <c r="E191" s="31"/>
    </row>
    <row r="192" spans="1:5" ht="16" thickBot="1" x14ac:dyDescent="0.3">
      <c r="A192" s="41">
        <v>46143</v>
      </c>
      <c r="B192" s="28" t="s">
        <v>181</v>
      </c>
      <c r="C192" s="29">
        <v>20</v>
      </c>
      <c r="D192" s="30"/>
      <c r="E192" s="31"/>
    </row>
    <row r="193" spans="1:5" ht="16" thickBot="1" x14ac:dyDescent="0.3">
      <c r="A193" s="41">
        <v>46508</v>
      </c>
      <c r="B193" s="28" t="s">
        <v>182</v>
      </c>
      <c r="C193" s="29">
        <v>70</v>
      </c>
      <c r="D193" s="30"/>
      <c r="E193" s="31"/>
    </row>
    <row r="194" spans="1:5" ht="16" thickBot="1" x14ac:dyDescent="0.3">
      <c r="A194" s="41">
        <v>46874</v>
      </c>
      <c r="B194" s="28" t="s">
        <v>183</v>
      </c>
      <c r="C194" s="29">
        <v>100</v>
      </c>
      <c r="D194" s="30"/>
      <c r="E194" s="31"/>
    </row>
    <row r="195" spans="1:5" ht="16" thickBot="1" x14ac:dyDescent="0.3">
      <c r="A195" s="41">
        <v>47239</v>
      </c>
      <c r="B195" s="28" t="s">
        <v>184</v>
      </c>
      <c r="C195" s="29">
        <v>150</v>
      </c>
      <c r="D195" s="30"/>
      <c r="E195" s="31"/>
    </row>
    <row r="196" spans="1:5" ht="16" thickBot="1" x14ac:dyDescent="0.3">
      <c r="A196" s="41">
        <v>11079</v>
      </c>
      <c r="B196" s="28" t="s">
        <v>185</v>
      </c>
      <c r="C196" s="29">
        <v>100</v>
      </c>
      <c r="D196" s="30"/>
      <c r="E196" s="31"/>
    </row>
    <row r="197" spans="1:5" ht="16" thickBot="1" x14ac:dyDescent="0.3">
      <c r="A197" s="41">
        <v>11444</v>
      </c>
      <c r="B197" s="28" t="s">
        <v>186</v>
      </c>
      <c r="C197" s="29">
        <v>130</v>
      </c>
      <c r="D197" s="30"/>
      <c r="E197" s="31"/>
    </row>
    <row r="198" spans="1:5" ht="16" thickBot="1" x14ac:dyDescent="0.3">
      <c r="A198" s="41">
        <v>11810</v>
      </c>
      <c r="B198" s="28" t="s">
        <v>187</v>
      </c>
      <c r="C198" s="29">
        <v>130</v>
      </c>
      <c r="D198" s="30"/>
      <c r="E198" s="31"/>
    </row>
    <row r="199" spans="1:5" ht="16" thickBot="1" x14ac:dyDescent="0.3">
      <c r="A199" s="41" t="s">
        <v>188</v>
      </c>
      <c r="B199" s="28" t="s">
        <v>189</v>
      </c>
      <c r="C199" s="29"/>
      <c r="D199" s="30"/>
      <c r="E199" s="31"/>
    </row>
    <row r="200" spans="1:5" ht="16" thickBot="1" x14ac:dyDescent="0.3">
      <c r="A200" s="41">
        <v>45663</v>
      </c>
      <c r="B200" s="28" t="s">
        <v>190</v>
      </c>
      <c r="C200" s="29">
        <v>20</v>
      </c>
      <c r="D200" s="30"/>
      <c r="E200" s="31"/>
    </row>
    <row r="201" spans="1:5" ht="16" thickBot="1" x14ac:dyDescent="0.3">
      <c r="A201" s="41">
        <v>45694</v>
      </c>
      <c r="B201" s="28" t="s">
        <v>191</v>
      </c>
      <c r="C201" s="29">
        <v>60</v>
      </c>
      <c r="D201" s="30"/>
      <c r="E201" s="31"/>
    </row>
    <row r="202" spans="1:5" ht="16" thickBot="1" x14ac:dyDescent="0.3">
      <c r="A202" s="41">
        <v>45722</v>
      </c>
      <c r="B202" s="28" t="s">
        <v>192</v>
      </c>
      <c r="C202" s="29">
        <v>120</v>
      </c>
      <c r="D202" s="30"/>
      <c r="E202" s="31"/>
    </row>
    <row r="203" spans="1:5" ht="16" thickBot="1" x14ac:dyDescent="0.3">
      <c r="A203" s="41">
        <v>45753</v>
      </c>
      <c r="B203" s="28" t="s">
        <v>193</v>
      </c>
      <c r="C203" s="29">
        <v>100</v>
      </c>
      <c r="D203" s="30"/>
      <c r="E203" s="31"/>
    </row>
    <row r="204" spans="1:5" ht="16" thickBot="1" x14ac:dyDescent="0.3">
      <c r="A204" s="23">
        <v>45783</v>
      </c>
      <c r="B204" s="24" t="s">
        <v>194</v>
      </c>
      <c r="C204" s="25">
        <v>200</v>
      </c>
      <c r="D204" s="26"/>
      <c r="E204" s="27"/>
    </row>
    <row r="205" spans="1:5" ht="16" thickBot="1" x14ac:dyDescent="0.3">
      <c r="A205" s="23">
        <v>45814</v>
      </c>
      <c r="B205" s="28" t="s">
        <v>195</v>
      </c>
      <c r="C205" s="29">
        <v>500</v>
      </c>
      <c r="D205" s="30"/>
      <c r="E205" s="31"/>
    </row>
    <row r="206" spans="1:5" ht="16" thickBot="1" x14ac:dyDescent="0.3">
      <c r="A206" s="23">
        <v>45844</v>
      </c>
      <c r="B206" s="28" t="s">
        <v>196</v>
      </c>
      <c r="C206" s="29" t="s">
        <v>197</v>
      </c>
      <c r="D206" s="30"/>
      <c r="E206" s="31"/>
    </row>
    <row r="207" spans="1:5" ht="16" thickBot="1" x14ac:dyDescent="0.3">
      <c r="A207" s="23">
        <v>45875</v>
      </c>
      <c r="B207" s="28" t="s">
        <v>198</v>
      </c>
      <c r="C207" s="29">
        <v>200</v>
      </c>
      <c r="D207" s="30"/>
      <c r="E207" s="31"/>
    </row>
    <row r="208" spans="1:5" ht="16" thickBot="1" x14ac:dyDescent="0.3">
      <c r="A208" s="23">
        <v>45906</v>
      </c>
      <c r="B208" s="28" t="s">
        <v>199</v>
      </c>
      <c r="C208" s="29">
        <v>180</v>
      </c>
      <c r="D208" s="30"/>
      <c r="E208" s="31"/>
    </row>
    <row r="209" spans="1:5" ht="16" thickBot="1" x14ac:dyDescent="0.3">
      <c r="A209" s="23">
        <v>45936</v>
      </c>
      <c r="B209" s="28" t="s">
        <v>200</v>
      </c>
      <c r="C209" s="29">
        <v>150</v>
      </c>
      <c r="D209" s="30"/>
      <c r="E209" s="31"/>
    </row>
    <row r="210" spans="1:5" ht="16" thickBot="1" x14ac:dyDescent="0.3">
      <c r="A210" s="23">
        <v>45967</v>
      </c>
      <c r="B210" s="28" t="s">
        <v>201</v>
      </c>
      <c r="C210" s="29">
        <v>200</v>
      </c>
      <c r="D210" s="30"/>
      <c r="E210" s="31"/>
    </row>
    <row r="211" spans="1:5" ht="16" thickBot="1" x14ac:dyDescent="0.3">
      <c r="A211" s="23" t="s">
        <v>202</v>
      </c>
      <c r="B211" s="28" t="s">
        <v>203</v>
      </c>
      <c r="C211" s="29"/>
      <c r="D211" s="30"/>
      <c r="E211" s="31"/>
    </row>
    <row r="212" spans="1:5" ht="16" thickBot="1" x14ac:dyDescent="0.3">
      <c r="A212" s="23">
        <v>45664</v>
      </c>
      <c r="B212" s="28" t="s">
        <v>204</v>
      </c>
      <c r="C212" s="29">
        <v>150</v>
      </c>
      <c r="D212" s="30"/>
      <c r="E212" s="31"/>
    </row>
    <row r="213" spans="1:5" ht="16" thickBot="1" x14ac:dyDescent="0.3">
      <c r="A213" s="23">
        <v>45695</v>
      </c>
      <c r="B213" s="28" t="s">
        <v>205</v>
      </c>
      <c r="C213" s="29">
        <v>40</v>
      </c>
      <c r="D213" s="30"/>
      <c r="E213" s="31"/>
    </row>
    <row r="214" spans="1:5" ht="16" thickBot="1" x14ac:dyDescent="0.3">
      <c r="A214" s="23">
        <v>45723</v>
      </c>
      <c r="B214" s="28" t="s">
        <v>206</v>
      </c>
      <c r="C214" s="29">
        <v>150</v>
      </c>
      <c r="D214" s="30"/>
      <c r="E214" s="31"/>
    </row>
    <row r="215" spans="1:5" ht="16" thickBot="1" x14ac:dyDescent="0.3">
      <c r="A215" s="23">
        <v>45754</v>
      </c>
      <c r="B215" s="28" t="s">
        <v>207</v>
      </c>
      <c r="C215" s="29">
        <v>40</v>
      </c>
      <c r="D215" s="30"/>
      <c r="E215" s="31"/>
    </row>
    <row r="216" spans="1:5" ht="16" thickBot="1" x14ac:dyDescent="0.3">
      <c r="A216" s="41">
        <v>45784</v>
      </c>
      <c r="B216" s="24" t="s">
        <v>208</v>
      </c>
      <c r="C216" s="25">
        <v>100</v>
      </c>
      <c r="D216" s="26"/>
      <c r="E216" s="27"/>
    </row>
    <row r="217" spans="1:5" ht="16" thickBot="1" x14ac:dyDescent="0.3">
      <c r="A217" s="23">
        <v>45815</v>
      </c>
      <c r="B217" s="28" t="s">
        <v>209</v>
      </c>
      <c r="C217" s="29">
        <v>20</v>
      </c>
      <c r="D217" s="30"/>
      <c r="E217" s="31"/>
    </row>
    <row r="218" spans="1:5" ht="16" thickBot="1" x14ac:dyDescent="0.3">
      <c r="A218" s="23">
        <v>45845</v>
      </c>
      <c r="B218" s="28" t="s">
        <v>210</v>
      </c>
      <c r="C218" s="29">
        <v>150</v>
      </c>
      <c r="D218" s="30"/>
      <c r="E218" s="31"/>
    </row>
    <row r="219" spans="1:5" ht="16" thickBot="1" x14ac:dyDescent="0.3">
      <c r="A219" s="23">
        <v>45876</v>
      </c>
      <c r="B219" s="28" t="s">
        <v>211</v>
      </c>
      <c r="C219" s="29">
        <v>20</v>
      </c>
      <c r="D219" s="30"/>
      <c r="E219" s="31"/>
    </row>
    <row r="220" spans="1:5" ht="16" thickBot="1" x14ac:dyDescent="0.3">
      <c r="A220" s="23">
        <v>45907</v>
      </c>
      <c r="B220" s="28" t="s">
        <v>212</v>
      </c>
      <c r="C220" s="29">
        <v>150</v>
      </c>
      <c r="D220" s="30"/>
      <c r="E220" s="31"/>
    </row>
    <row r="221" spans="1:5" ht="16" thickBot="1" x14ac:dyDescent="0.3">
      <c r="A221" s="23">
        <v>45937</v>
      </c>
      <c r="B221" s="28" t="s">
        <v>213</v>
      </c>
      <c r="C221" s="29">
        <v>20</v>
      </c>
      <c r="D221" s="30"/>
      <c r="E221" s="31"/>
    </row>
    <row r="222" spans="1:5" ht="16" thickBot="1" x14ac:dyDescent="0.3">
      <c r="A222" s="23">
        <v>45968</v>
      </c>
      <c r="B222" s="28" t="s">
        <v>214</v>
      </c>
      <c r="C222" s="29">
        <v>80</v>
      </c>
      <c r="D222" s="30"/>
      <c r="E222" s="31"/>
    </row>
    <row r="223" spans="1:5" ht="16" thickBot="1" x14ac:dyDescent="0.3">
      <c r="A223" s="23">
        <v>45998</v>
      </c>
      <c r="B223" s="28" t="s">
        <v>215</v>
      </c>
      <c r="C223" s="29">
        <v>300</v>
      </c>
      <c r="D223" s="30"/>
      <c r="E223" s="31"/>
    </row>
    <row r="224" spans="1:5" ht="16" thickBot="1" x14ac:dyDescent="0.3">
      <c r="A224" s="23">
        <v>41456</v>
      </c>
      <c r="B224" s="28" t="s">
        <v>216</v>
      </c>
      <c r="C224" s="29">
        <v>20</v>
      </c>
      <c r="D224" s="30"/>
      <c r="E224" s="31"/>
    </row>
    <row r="225" spans="1:5" ht="16" thickBot="1" x14ac:dyDescent="0.3">
      <c r="A225" s="23">
        <v>41821</v>
      </c>
      <c r="B225" s="28" t="s">
        <v>217</v>
      </c>
      <c r="C225" s="29">
        <v>35</v>
      </c>
      <c r="D225" s="30"/>
      <c r="E225" s="31"/>
    </row>
    <row r="226" spans="1:5" ht="28.5" thickBot="1" x14ac:dyDescent="0.3">
      <c r="A226" s="23">
        <v>42186</v>
      </c>
      <c r="B226" s="28" t="s">
        <v>218</v>
      </c>
      <c r="C226" s="29" t="s">
        <v>219</v>
      </c>
      <c r="D226" s="30"/>
      <c r="E226" s="31"/>
    </row>
    <row r="227" spans="1:5" ht="16" thickBot="1" x14ac:dyDescent="0.3">
      <c r="A227" s="23">
        <v>42552</v>
      </c>
      <c r="B227" s="28" t="s">
        <v>220</v>
      </c>
      <c r="C227" s="29">
        <v>40</v>
      </c>
      <c r="D227" s="30"/>
      <c r="E227" s="31"/>
    </row>
    <row r="228" spans="1:5" ht="16" thickBot="1" x14ac:dyDescent="0.3">
      <c r="A228" s="23">
        <v>42917</v>
      </c>
      <c r="B228" s="28" t="s">
        <v>221</v>
      </c>
      <c r="C228" s="29">
        <v>30</v>
      </c>
      <c r="D228" s="30"/>
      <c r="E228" s="31"/>
    </row>
    <row r="229" spans="1:5" ht="16" thickBot="1" x14ac:dyDescent="0.3">
      <c r="A229" s="41">
        <v>43282</v>
      </c>
      <c r="B229" s="28" t="s">
        <v>222</v>
      </c>
      <c r="C229" s="29">
        <v>60</v>
      </c>
      <c r="D229" s="30"/>
      <c r="E229" s="31"/>
    </row>
    <row r="230" spans="1:5" ht="16" thickBot="1" x14ac:dyDescent="0.3">
      <c r="A230" s="41"/>
      <c r="B230" s="28" t="s">
        <v>223</v>
      </c>
      <c r="C230" s="29"/>
      <c r="D230" s="30"/>
      <c r="E230" s="31"/>
    </row>
    <row r="231" spans="1:5" ht="14.5" customHeight="1" thickBot="1" x14ac:dyDescent="0.3">
      <c r="A231" s="41">
        <v>43647</v>
      </c>
      <c r="B231" s="28" t="s">
        <v>224</v>
      </c>
      <c r="C231" s="29" t="s">
        <v>225</v>
      </c>
      <c r="D231" s="30"/>
      <c r="E231" s="31"/>
    </row>
    <row r="232" spans="1:5" ht="16" thickBot="1" x14ac:dyDescent="0.3">
      <c r="A232" s="41">
        <v>44013</v>
      </c>
      <c r="B232" s="28" t="s">
        <v>226</v>
      </c>
      <c r="C232" s="29">
        <v>100</v>
      </c>
      <c r="D232" s="30"/>
      <c r="E232" s="31"/>
    </row>
    <row r="233" spans="1:5" ht="16" thickBot="1" x14ac:dyDescent="0.3">
      <c r="A233" s="41">
        <v>44378</v>
      </c>
      <c r="B233" s="28" t="s">
        <v>227</v>
      </c>
      <c r="C233" s="29">
        <v>25</v>
      </c>
      <c r="D233" s="30"/>
      <c r="E233" s="31"/>
    </row>
    <row r="234" spans="1:5" ht="16" thickBot="1" x14ac:dyDescent="0.3">
      <c r="A234" s="41">
        <v>44743</v>
      </c>
      <c r="B234" s="28" t="s">
        <v>228</v>
      </c>
      <c r="C234" s="29">
        <v>40</v>
      </c>
      <c r="D234" s="30"/>
      <c r="E234" s="31"/>
    </row>
    <row r="235" spans="1:5" ht="16" thickBot="1" x14ac:dyDescent="0.3">
      <c r="A235" s="44">
        <v>45108</v>
      </c>
      <c r="B235" s="24" t="s">
        <v>229</v>
      </c>
      <c r="C235" s="25">
        <v>20</v>
      </c>
      <c r="D235" s="26"/>
      <c r="E235" s="27"/>
    </row>
    <row r="236" spans="1:5" ht="168.5" thickBot="1" x14ac:dyDescent="0.3">
      <c r="A236" s="41">
        <v>45474</v>
      </c>
      <c r="B236" s="28" t="s">
        <v>230</v>
      </c>
      <c r="C236" s="29" t="s">
        <v>231</v>
      </c>
      <c r="D236" s="30"/>
      <c r="E236" s="31"/>
    </row>
    <row r="237" spans="1:5" ht="16" thickBot="1" x14ac:dyDescent="0.3">
      <c r="A237" s="41"/>
      <c r="B237" s="28" t="s">
        <v>232</v>
      </c>
      <c r="C237" s="29"/>
      <c r="D237" s="30"/>
      <c r="E237" s="31"/>
    </row>
    <row r="238" spans="1:5" ht="16" thickBot="1" x14ac:dyDescent="0.3">
      <c r="A238" s="41">
        <v>45839</v>
      </c>
      <c r="B238" s="28" t="s">
        <v>233</v>
      </c>
      <c r="C238" s="29">
        <v>30</v>
      </c>
      <c r="D238" s="30"/>
      <c r="E238" s="31"/>
    </row>
    <row r="239" spans="1:5" ht="98.5" thickBot="1" x14ac:dyDescent="0.3">
      <c r="A239" s="41">
        <v>46204</v>
      </c>
      <c r="B239" s="28" t="s">
        <v>234</v>
      </c>
      <c r="C239" s="29" t="s">
        <v>235</v>
      </c>
      <c r="D239" s="30"/>
      <c r="E239" s="31"/>
    </row>
    <row r="240" spans="1:5" ht="16" thickBot="1" x14ac:dyDescent="0.3">
      <c r="A240" s="41">
        <v>46569</v>
      </c>
      <c r="B240" s="28" t="s">
        <v>236</v>
      </c>
      <c r="C240" s="29">
        <v>60</v>
      </c>
      <c r="D240" s="30"/>
      <c r="E240" s="31"/>
    </row>
    <row r="241" spans="1:5" ht="14.5" customHeight="1" thickBot="1" x14ac:dyDescent="0.3">
      <c r="A241" s="41">
        <v>46935</v>
      </c>
      <c r="B241" s="28" t="s">
        <v>237</v>
      </c>
      <c r="C241" s="29">
        <v>120</v>
      </c>
      <c r="D241" s="30"/>
      <c r="E241" s="31"/>
    </row>
    <row r="242" spans="1:5" ht="16" thickBot="1" x14ac:dyDescent="0.3">
      <c r="A242" s="44">
        <v>47300</v>
      </c>
      <c r="B242" s="24" t="s">
        <v>238</v>
      </c>
      <c r="C242" s="25">
        <v>90</v>
      </c>
      <c r="D242" s="26"/>
      <c r="E242" s="27"/>
    </row>
    <row r="243" spans="1:5" ht="16" thickBot="1" x14ac:dyDescent="0.3">
      <c r="A243" s="41">
        <v>11140</v>
      </c>
      <c r="B243" s="28" t="s">
        <v>239</v>
      </c>
      <c r="C243" s="29">
        <v>110</v>
      </c>
      <c r="D243" s="30"/>
      <c r="E243" s="31"/>
    </row>
    <row r="244" spans="1:5" ht="14.5" customHeight="1" thickBot="1" x14ac:dyDescent="0.3">
      <c r="A244" s="41">
        <v>11505</v>
      </c>
      <c r="B244" s="28" t="s">
        <v>240</v>
      </c>
      <c r="C244" s="29">
        <v>75</v>
      </c>
      <c r="D244" s="30"/>
      <c r="E244" s="31"/>
    </row>
    <row r="245" spans="1:5" ht="16" thickBot="1" x14ac:dyDescent="0.3">
      <c r="A245" s="41">
        <v>11871</v>
      </c>
      <c r="B245" s="28" t="s">
        <v>241</v>
      </c>
      <c r="C245" s="29">
        <v>150</v>
      </c>
      <c r="D245" s="30"/>
      <c r="E245" s="31"/>
    </row>
    <row r="246" spans="1:5" ht="16" thickBot="1" x14ac:dyDescent="0.3">
      <c r="A246" s="41">
        <v>12236</v>
      </c>
      <c r="B246" s="28" t="s">
        <v>242</v>
      </c>
      <c r="C246" s="29">
        <v>250</v>
      </c>
      <c r="D246" s="30"/>
      <c r="E246" s="31"/>
    </row>
    <row r="247" spans="1:5" ht="16" thickBot="1" x14ac:dyDescent="0.3">
      <c r="A247" s="41">
        <v>12601</v>
      </c>
      <c r="B247" s="28" t="s">
        <v>243</v>
      </c>
      <c r="C247" s="29">
        <v>90</v>
      </c>
      <c r="D247" s="30"/>
      <c r="E247" s="31"/>
    </row>
    <row r="248" spans="1:5" ht="16" thickBot="1" x14ac:dyDescent="0.3">
      <c r="A248" s="41">
        <v>12966</v>
      </c>
      <c r="B248" s="28" t="s">
        <v>244</v>
      </c>
      <c r="C248" s="29">
        <v>125</v>
      </c>
      <c r="D248" s="30"/>
      <c r="E248" s="31"/>
    </row>
    <row r="249" spans="1:5" ht="16" thickBot="1" x14ac:dyDescent="0.3">
      <c r="A249" s="41">
        <v>13332</v>
      </c>
      <c r="B249" s="28" t="s">
        <v>245</v>
      </c>
      <c r="C249" s="29">
        <v>100</v>
      </c>
      <c r="D249" s="30"/>
      <c r="E249" s="31"/>
    </row>
    <row r="250" spans="1:5" ht="16" thickBot="1" x14ac:dyDescent="0.3">
      <c r="A250" s="41">
        <v>13697</v>
      </c>
      <c r="B250" s="28" t="s">
        <v>246</v>
      </c>
      <c r="C250" s="29">
        <v>200</v>
      </c>
      <c r="D250" s="30"/>
      <c r="E250" s="31"/>
    </row>
    <row r="251" spans="1:5" ht="16" thickBot="1" x14ac:dyDescent="0.3">
      <c r="A251" s="41">
        <v>14062</v>
      </c>
      <c r="B251" s="28" t="s">
        <v>247</v>
      </c>
      <c r="C251" s="29">
        <v>50</v>
      </c>
      <c r="D251" s="30"/>
      <c r="E251" s="31"/>
    </row>
    <row r="252" spans="1:5" ht="31.5" thickBot="1" x14ac:dyDescent="0.3">
      <c r="A252" s="41">
        <v>14427</v>
      </c>
      <c r="B252" s="28" t="s">
        <v>248</v>
      </c>
      <c r="C252" s="29">
        <v>110</v>
      </c>
      <c r="D252" s="30"/>
      <c r="E252" s="31"/>
    </row>
    <row r="253" spans="1:5" ht="31.5" thickBot="1" x14ac:dyDescent="0.3">
      <c r="A253" s="41">
        <v>14793</v>
      </c>
      <c r="B253" s="28" t="s">
        <v>249</v>
      </c>
      <c r="C253" s="29">
        <v>150</v>
      </c>
      <c r="D253" s="30"/>
      <c r="E253" s="31"/>
    </row>
    <row r="254" spans="1:5" ht="168.5" thickBot="1" x14ac:dyDescent="0.3">
      <c r="A254" s="41">
        <v>15158</v>
      </c>
      <c r="B254" s="28" t="s">
        <v>250</v>
      </c>
      <c r="C254" s="29" t="s">
        <v>251</v>
      </c>
      <c r="D254" s="30"/>
      <c r="E254" s="31"/>
    </row>
    <row r="255" spans="1:5" ht="16" thickBot="1" x14ac:dyDescent="0.3">
      <c r="A255" s="41">
        <v>15523</v>
      </c>
      <c r="B255" s="28" t="s">
        <v>252</v>
      </c>
      <c r="C255" s="29">
        <v>75</v>
      </c>
      <c r="D255" s="30"/>
      <c r="E255" s="31"/>
    </row>
    <row r="256" spans="1:5" ht="16" thickBot="1" x14ac:dyDescent="0.3">
      <c r="A256" s="41">
        <v>15888</v>
      </c>
      <c r="B256" s="28" t="s">
        <v>253</v>
      </c>
      <c r="C256" s="29">
        <v>100</v>
      </c>
      <c r="D256" s="30"/>
      <c r="E256" s="31"/>
    </row>
    <row r="257" spans="1:5" ht="16" thickBot="1" x14ac:dyDescent="0.3">
      <c r="A257" s="41">
        <v>16254</v>
      </c>
      <c r="B257" s="28" t="s">
        <v>254</v>
      </c>
      <c r="C257" s="29">
        <v>180</v>
      </c>
      <c r="D257" s="30"/>
      <c r="E257" s="31"/>
    </row>
    <row r="258" spans="1:5" ht="16" thickBot="1" x14ac:dyDescent="0.3">
      <c r="A258" s="41">
        <v>16619</v>
      </c>
      <c r="B258" s="28" t="s">
        <v>255</v>
      </c>
      <c r="C258" s="29">
        <v>70</v>
      </c>
      <c r="D258" s="30"/>
      <c r="E258" s="31"/>
    </row>
    <row r="259" spans="1:5" ht="14.5" customHeight="1" thickBot="1" x14ac:dyDescent="0.3">
      <c r="A259" s="41">
        <v>16984</v>
      </c>
      <c r="B259" s="28" t="e">
        <f>- oboustranná luxace</f>
        <v>#NAME?</v>
      </c>
      <c r="C259" s="29">
        <v>150</v>
      </c>
      <c r="D259" s="30"/>
      <c r="E259" s="31"/>
    </row>
    <row r="260" spans="1:5" ht="16" thickBot="1" x14ac:dyDescent="0.3">
      <c r="A260" s="41">
        <v>17349</v>
      </c>
      <c r="B260" s="28" t="s">
        <v>256</v>
      </c>
      <c r="C260" s="29">
        <v>20</v>
      </c>
      <c r="D260" s="30"/>
      <c r="E260" s="31"/>
    </row>
    <row r="261" spans="1:5" ht="47" thickBot="1" x14ac:dyDescent="0.3">
      <c r="A261" s="41">
        <v>17715</v>
      </c>
      <c r="B261" s="28" t="s">
        <v>257</v>
      </c>
      <c r="C261" s="29" t="s">
        <v>258</v>
      </c>
      <c r="D261" s="30"/>
      <c r="E261" s="31"/>
    </row>
    <row r="262" spans="1:5" ht="16" thickBot="1" x14ac:dyDescent="0.3">
      <c r="A262" s="41">
        <v>18080</v>
      </c>
      <c r="B262" s="28" t="s">
        <v>259</v>
      </c>
      <c r="C262" s="29">
        <v>60</v>
      </c>
      <c r="D262" s="30"/>
      <c r="E262" s="31"/>
    </row>
    <row r="263" spans="1:5" ht="16" thickBot="1" x14ac:dyDescent="0.3">
      <c r="A263" s="41">
        <v>18445</v>
      </c>
      <c r="B263" s="28" t="s">
        <v>260</v>
      </c>
      <c r="C263" s="29">
        <v>200</v>
      </c>
      <c r="D263" s="30"/>
      <c r="E263" s="31"/>
    </row>
    <row r="264" spans="1:5" ht="16" thickBot="1" x14ac:dyDescent="0.3">
      <c r="A264" s="41">
        <v>18810</v>
      </c>
      <c r="B264" s="28" t="s">
        <v>261</v>
      </c>
      <c r="C264" s="29">
        <v>800</v>
      </c>
      <c r="D264" s="30"/>
      <c r="E264" s="31"/>
    </row>
    <row r="265" spans="1:5" ht="16" thickBot="1" x14ac:dyDescent="0.3">
      <c r="A265" s="41">
        <v>19176</v>
      </c>
      <c r="B265" s="28" t="s">
        <v>262</v>
      </c>
      <c r="C265" s="29">
        <v>600</v>
      </c>
      <c r="D265" s="30"/>
      <c r="E265" s="31"/>
    </row>
    <row r="266" spans="1:5" ht="31.5" thickBot="1" x14ac:dyDescent="0.3">
      <c r="A266" s="41">
        <v>19541</v>
      </c>
      <c r="B266" s="28" t="s">
        <v>263</v>
      </c>
      <c r="C266" s="29" t="s">
        <v>264</v>
      </c>
      <c r="D266" s="30"/>
      <c r="E266" s="31"/>
    </row>
    <row r="267" spans="1:5" ht="31.5" thickBot="1" x14ac:dyDescent="0.3">
      <c r="A267" s="41">
        <v>19906</v>
      </c>
      <c r="B267" s="28" t="s">
        <v>265</v>
      </c>
      <c r="C267" s="29" t="s">
        <v>225</v>
      </c>
      <c r="D267" s="30"/>
      <c r="E267" s="31"/>
    </row>
    <row r="268" spans="1:5" ht="16" thickBot="1" x14ac:dyDescent="0.3">
      <c r="A268" s="41" t="s">
        <v>266</v>
      </c>
      <c r="B268" s="28" t="s">
        <v>267</v>
      </c>
      <c r="C268" s="29"/>
      <c r="D268" s="30"/>
      <c r="E268" s="31"/>
    </row>
    <row r="269" spans="1:5" ht="16" thickBot="1" x14ac:dyDescent="0.3">
      <c r="A269" s="41">
        <v>45665</v>
      </c>
      <c r="B269" s="28" t="s">
        <v>268</v>
      </c>
      <c r="C269" s="45">
        <v>11232</v>
      </c>
      <c r="D269" s="30"/>
      <c r="E269" s="31"/>
    </row>
    <row r="270" spans="1:5" ht="16" thickBot="1" x14ac:dyDescent="0.3">
      <c r="A270" s="41">
        <v>45696</v>
      </c>
      <c r="B270" s="28" t="s">
        <v>269</v>
      </c>
      <c r="C270" s="29" t="s">
        <v>270</v>
      </c>
      <c r="D270" s="30"/>
      <c r="E270" s="31"/>
    </row>
    <row r="271" spans="1:5" ht="16" thickBot="1" x14ac:dyDescent="0.3">
      <c r="A271" s="41">
        <v>45724</v>
      </c>
      <c r="B271" s="28" t="s">
        <v>271</v>
      </c>
      <c r="C271" s="29" t="s">
        <v>272</v>
      </c>
      <c r="D271" s="30"/>
      <c r="E271" s="31"/>
    </row>
    <row r="272" spans="1:5" ht="16" thickBot="1" x14ac:dyDescent="0.3">
      <c r="A272" s="41">
        <v>45755</v>
      </c>
      <c r="B272" s="28" t="s">
        <v>273</v>
      </c>
      <c r="C272" s="29">
        <v>40</v>
      </c>
      <c r="D272" s="30"/>
      <c r="E272" s="31"/>
    </row>
    <row r="273" spans="1:5" ht="16" thickBot="1" x14ac:dyDescent="0.3">
      <c r="A273" s="23">
        <v>45785</v>
      </c>
      <c r="B273" s="24" t="s">
        <v>274</v>
      </c>
      <c r="C273" s="25">
        <v>80</v>
      </c>
      <c r="D273" s="26"/>
      <c r="E273" s="27"/>
    </row>
    <row r="274" spans="1:5" ht="16" thickBot="1" x14ac:dyDescent="0.3">
      <c r="A274" s="23">
        <v>45816</v>
      </c>
      <c r="B274" s="28" t="s">
        <v>275</v>
      </c>
      <c r="C274" s="45">
        <v>20</v>
      </c>
      <c r="D274" s="46"/>
      <c r="E274" s="47"/>
    </row>
    <row r="275" spans="1:5" ht="16" thickBot="1" x14ac:dyDescent="0.3">
      <c r="A275" s="23">
        <v>45846</v>
      </c>
      <c r="B275" s="28" t="s">
        <v>276</v>
      </c>
      <c r="C275" s="29">
        <v>25</v>
      </c>
      <c r="D275" s="30"/>
      <c r="E275" s="31"/>
    </row>
    <row r="276" spans="1:5" ht="31.5" thickBot="1" x14ac:dyDescent="0.3">
      <c r="A276" s="23">
        <v>45877</v>
      </c>
      <c r="B276" s="28" t="s">
        <v>277</v>
      </c>
      <c r="C276" s="29">
        <v>10</v>
      </c>
      <c r="D276" s="30"/>
      <c r="E276" s="31"/>
    </row>
    <row r="277" spans="1:5" ht="16" thickBot="1" x14ac:dyDescent="0.3">
      <c r="A277" s="23">
        <v>45908</v>
      </c>
      <c r="B277" s="28" t="s">
        <v>278</v>
      </c>
      <c r="C277" s="29">
        <v>200</v>
      </c>
      <c r="D277" s="30"/>
      <c r="E277" s="31"/>
    </row>
    <row r="278" spans="1:5" ht="16" thickBot="1" x14ac:dyDescent="0.3">
      <c r="A278" s="23">
        <v>45938</v>
      </c>
      <c r="B278" s="28" t="s">
        <v>279</v>
      </c>
      <c r="C278" s="29" t="s">
        <v>280</v>
      </c>
      <c r="D278" s="30"/>
      <c r="E278" s="31"/>
    </row>
    <row r="279" spans="1:5" ht="16" thickBot="1" x14ac:dyDescent="0.3">
      <c r="A279" s="23">
        <v>45969</v>
      </c>
      <c r="B279" s="28" t="s">
        <v>281</v>
      </c>
      <c r="C279" s="29">
        <v>50</v>
      </c>
      <c r="D279" s="30"/>
      <c r="E279" s="31"/>
    </row>
    <row r="280" spans="1:5" ht="28.5" thickBot="1" x14ac:dyDescent="0.3">
      <c r="A280" s="23">
        <v>45999</v>
      </c>
      <c r="B280" s="28" t="s">
        <v>282</v>
      </c>
      <c r="C280" s="29" t="s">
        <v>219</v>
      </c>
      <c r="D280" s="30"/>
      <c r="E280" s="31"/>
    </row>
    <row r="281" spans="1:5" ht="16" thickBot="1" x14ac:dyDescent="0.3">
      <c r="A281" s="23">
        <v>41487</v>
      </c>
      <c r="B281" s="28" t="s">
        <v>283</v>
      </c>
      <c r="C281" s="29">
        <v>150</v>
      </c>
      <c r="D281" s="30"/>
      <c r="E281" s="31"/>
    </row>
    <row r="282" spans="1:5" ht="28.5" thickBot="1" x14ac:dyDescent="0.3">
      <c r="A282" s="23">
        <v>41852</v>
      </c>
      <c r="B282" s="28" t="s">
        <v>284</v>
      </c>
      <c r="C282" s="29" t="s">
        <v>219</v>
      </c>
      <c r="D282" s="30"/>
      <c r="E282" s="31"/>
    </row>
    <row r="283" spans="1:5" ht="16" thickBot="1" x14ac:dyDescent="0.3">
      <c r="A283" s="23">
        <v>42217</v>
      </c>
      <c r="B283" s="28" t="s">
        <v>285</v>
      </c>
      <c r="C283" s="29">
        <v>100</v>
      </c>
      <c r="D283" s="30"/>
      <c r="E283" s="31"/>
    </row>
    <row r="284" spans="1:5" ht="16" thickBot="1" x14ac:dyDescent="0.3">
      <c r="A284" s="23">
        <v>42583</v>
      </c>
      <c r="B284" s="28" t="s">
        <v>286</v>
      </c>
      <c r="C284" s="29" t="s">
        <v>264</v>
      </c>
      <c r="D284" s="30"/>
      <c r="E284" s="31"/>
    </row>
    <row r="285" spans="1:5" ht="14.5" customHeight="1" thickBot="1" x14ac:dyDescent="0.3">
      <c r="A285" s="23">
        <v>42948</v>
      </c>
      <c r="B285" s="28" t="s">
        <v>287</v>
      </c>
      <c r="C285" s="29">
        <v>40</v>
      </c>
      <c r="D285" s="30"/>
      <c r="E285" s="31"/>
    </row>
    <row r="286" spans="1:5" ht="168.5" thickBot="1" x14ac:dyDescent="0.3">
      <c r="A286" s="41">
        <v>43313</v>
      </c>
      <c r="B286" s="28" t="s">
        <v>288</v>
      </c>
      <c r="C286" s="29" t="s">
        <v>289</v>
      </c>
      <c r="D286" s="30"/>
      <c r="E286" s="31"/>
    </row>
    <row r="287" spans="1:5" ht="14.5" customHeight="1" thickBot="1" x14ac:dyDescent="0.3">
      <c r="A287" s="41">
        <v>43678</v>
      </c>
      <c r="B287" s="28" t="s">
        <v>290</v>
      </c>
      <c r="C287" s="29">
        <v>50</v>
      </c>
      <c r="D287" s="30"/>
      <c r="E287" s="31"/>
    </row>
    <row r="288" spans="1:5" ht="16" thickBot="1" x14ac:dyDescent="0.3">
      <c r="A288" s="41">
        <v>44044</v>
      </c>
      <c r="B288" s="28" t="s">
        <v>291</v>
      </c>
      <c r="C288" s="29">
        <v>125</v>
      </c>
      <c r="D288" s="30"/>
      <c r="E288" s="31"/>
    </row>
    <row r="289" spans="1:5" ht="16" thickBot="1" x14ac:dyDescent="0.3">
      <c r="A289" s="41">
        <v>44409</v>
      </c>
      <c r="B289" s="28" t="s">
        <v>292</v>
      </c>
      <c r="C289" s="29">
        <v>155</v>
      </c>
      <c r="D289" s="30"/>
      <c r="E289" s="31"/>
    </row>
    <row r="290" spans="1:5" ht="16" thickBot="1" x14ac:dyDescent="0.3">
      <c r="A290" s="41">
        <v>44774</v>
      </c>
      <c r="B290" s="28" t="s">
        <v>293</v>
      </c>
      <c r="C290" s="29">
        <v>220</v>
      </c>
      <c r="D290" s="30"/>
      <c r="E290" s="31"/>
    </row>
    <row r="291" spans="1:5" ht="14.5" customHeight="1" thickBot="1" x14ac:dyDescent="0.3">
      <c r="A291" s="41">
        <v>45139</v>
      </c>
      <c r="B291" s="28" t="s">
        <v>294</v>
      </c>
      <c r="C291" s="29">
        <v>250</v>
      </c>
      <c r="D291" s="30"/>
      <c r="E291" s="31"/>
    </row>
    <row r="292" spans="1:5" ht="28.5" thickBot="1" x14ac:dyDescent="0.3">
      <c r="A292" s="41">
        <v>45505</v>
      </c>
      <c r="B292" s="28" t="s">
        <v>295</v>
      </c>
      <c r="C292" s="29" t="s">
        <v>219</v>
      </c>
      <c r="D292" s="30"/>
      <c r="E292" s="31"/>
    </row>
    <row r="293" spans="1:5" ht="16" thickBot="1" x14ac:dyDescent="0.3">
      <c r="A293" s="41">
        <v>45870</v>
      </c>
      <c r="B293" s="28" t="s">
        <v>296</v>
      </c>
      <c r="C293" s="29">
        <v>75</v>
      </c>
      <c r="D293" s="30"/>
      <c r="E293" s="31"/>
    </row>
    <row r="294" spans="1:5" ht="16" thickBot="1" x14ac:dyDescent="0.3">
      <c r="A294" s="41">
        <v>46235</v>
      </c>
      <c r="B294" s="28" t="s">
        <v>297</v>
      </c>
      <c r="C294" s="29">
        <v>150</v>
      </c>
      <c r="D294" s="30"/>
      <c r="E294" s="31"/>
    </row>
    <row r="295" spans="1:5" ht="16" thickBot="1" x14ac:dyDescent="0.3">
      <c r="A295" s="41">
        <v>46600</v>
      </c>
      <c r="B295" s="28" t="s">
        <v>298</v>
      </c>
      <c r="C295" s="29">
        <v>75</v>
      </c>
      <c r="D295" s="30"/>
      <c r="E295" s="31"/>
    </row>
    <row r="296" spans="1:5" ht="16" thickBot="1" x14ac:dyDescent="0.3">
      <c r="A296" s="41">
        <v>46966</v>
      </c>
      <c r="B296" s="28" t="s">
        <v>299</v>
      </c>
      <c r="C296" s="29">
        <v>150</v>
      </c>
      <c r="D296" s="30"/>
      <c r="E296" s="31"/>
    </row>
    <row r="297" spans="1:5" ht="14.5" customHeight="1" thickBot="1" x14ac:dyDescent="0.3">
      <c r="A297" s="41">
        <v>47331</v>
      </c>
      <c r="B297" s="28" t="s">
        <v>300</v>
      </c>
      <c r="C297" s="29">
        <v>120</v>
      </c>
      <c r="D297" s="30"/>
      <c r="E297" s="31"/>
    </row>
    <row r="298" spans="1:5" ht="16" thickBot="1" x14ac:dyDescent="0.3">
      <c r="A298" s="41">
        <v>11171</v>
      </c>
      <c r="B298" s="28" t="s">
        <v>301</v>
      </c>
      <c r="C298" s="29" t="s">
        <v>270</v>
      </c>
      <c r="D298" s="30"/>
      <c r="E298" s="31"/>
    </row>
    <row r="299" spans="1:5" ht="16" thickBot="1" x14ac:dyDescent="0.3">
      <c r="A299" s="41">
        <v>11536</v>
      </c>
      <c r="B299" s="28" t="s">
        <v>302</v>
      </c>
      <c r="C299" s="29" t="s">
        <v>303</v>
      </c>
      <c r="D299" s="30"/>
      <c r="E299" s="31"/>
    </row>
    <row r="300" spans="1:5" ht="16" thickBot="1" x14ac:dyDescent="0.3">
      <c r="A300" s="41">
        <v>11902</v>
      </c>
      <c r="B300" s="28" t="s">
        <v>304</v>
      </c>
      <c r="C300" s="29">
        <v>100</v>
      </c>
      <c r="D300" s="30"/>
      <c r="E300" s="31"/>
    </row>
    <row r="301" spans="1:5" ht="16" thickBot="1" x14ac:dyDescent="0.3">
      <c r="A301" s="41">
        <v>12267</v>
      </c>
      <c r="B301" s="28" t="s">
        <v>305</v>
      </c>
      <c r="C301" s="29">
        <v>200</v>
      </c>
      <c r="D301" s="30"/>
      <c r="E301" s="31"/>
    </row>
    <row r="302" spans="1:5" ht="16" thickBot="1" x14ac:dyDescent="0.3">
      <c r="A302" s="41">
        <v>12632</v>
      </c>
      <c r="B302" s="28" t="s">
        <v>306</v>
      </c>
      <c r="C302" s="29">
        <v>150</v>
      </c>
      <c r="D302" s="30"/>
      <c r="E302" s="31"/>
    </row>
    <row r="303" spans="1:5" ht="16" thickBot="1" x14ac:dyDescent="0.3">
      <c r="A303" s="41">
        <v>12997</v>
      </c>
      <c r="B303" s="28" t="s">
        <v>307</v>
      </c>
      <c r="C303" s="29">
        <v>150</v>
      </c>
      <c r="D303" s="30"/>
      <c r="E303" s="31"/>
    </row>
    <row r="304" spans="1:5" ht="16" thickBot="1" x14ac:dyDescent="0.3">
      <c r="A304" s="41">
        <v>13363</v>
      </c>
      <c r="B304" s="28" t="s">
        <v>308</v>
      </c>
      <c r="C304" s="29" t="s">
        <v>225</v>
      </c>
      <c r="D304" s="30"/>
      <c r="E304" s="31"/>
    </row>
    <row r="305" spans="1:5" ht="168.5" thickBot="1" x14ac:dyDescent="0.3">
      <c r="A305" s="41">
        <v>13728</v>
      </c>
      <c r="B305" s="28" t="s">
        <v>309</v>
      </c>
      <c r="C305" s="29" t="s">
        <v>310</v>
      </c>
      <c r="D305" s="30"/>
      <c r="E305" s="31"/>
    </row>
    <row r="306" spans="1:5" ht="16" thickBot="1" x14ac:dyDescent="0.3">
      <c r="A306" s="41">
        <v>14093</v>
      </c>
      <c r="B306" s="28" t="s">
        <v>311</v>
      </c>
      <c r="C306" s="29">
        <v>30</v>
      </c>
      <c r="D306" s="30"/>
      <c r="E306" s="31"/>
    </row>
    <row r="307" spans="1:5" ht="16" thickBot="1" x14ac:dyDescent="0.3">
      <c r="A307" s="41"/>
      <c r="B307" s="28" t="s">
        <v>312</v>
      </c>
      <c r="C307" s="29"/>
      <c r="D307" s="30"/>
      <c r="E307" s="31"/>
    </row>
    <row r="308" spans="1:5" ht="16" thickBot="1" x14ac:dyDescent="0.3">
      <c r="A308" s="41">
        <v>14458</v>
      </c>
      <c r="B308" s="28" t="s">
        <v>313</v>
      </c>
      <c r="C308" s="29">
        <v>30</v>
      </c>
      <c r="D308" s="30"/>
      <c r="E308" s="31"/>
    </row>
    <row r="309" spans="1:5" ht="98.5" thickBot="1" x14ac:dyDescent="0.3">
      <c r="A309" s="41">
        <v>14824</v>
      </c>
      <c r="B309" s="28" t="s">
        <v>314</v>
      </c>
      <c r="C309" s="29" t="s">
        <v>235</v>
      </c>
      <c r="D309" s="30"/>
      <c r="E309" s="31"/>
    </row>
    <row r="310" spans="1:5" ht="28.15" customHeight="1" thickBot="1" x14ac:dyDescent="0.3">
      <c r="A310" s="41">
        <v>15189</v>
      </c>
      <c r="B310" s="28" t="s">
        <v>315</v>
      </c>
      <c r="C310" s="29">
        <v>60</v>
      </c>
      <c r="D310" s="30"/>
      <c r="E310" s="31"/>
    </row>
    <row r="311" spans="1:5" ht="16" thickBot="1" x14ac:dyDescent="0.3">
      <c r="A311" s="41">
        <v>15554</v>
      </c>
      <c r="B311" s="28" t="s">
        <v>316</v>
      </c>
      <c r="C311" s="29">
        <v>100</v>
      </c>
      <c r="D311" s="30"/>
      <c r="E311" s="31"/>
    </row>
    <row r="312" spans="1:5" ht="16" thickBot="1" x14ac:dyDescent="0.3">
      <c r="A312" s="48">
        <v>15919</v>
      </c>
      <c r="B312" s="24" t="s">
        <v>317</v>
      </c>
      <c r="C312" s="25">
        <v>75</v>
      </c>
      <c r="D312" s="26"/>
      <c r="E312" s="27"/>
    </row>
    <row r="313" spans="1:5" ht="16" thickBot="1" x14ac:dyDescent="0.3">
      <c r="A313" s="41">
        <v>16285</v>
      </c>
      <c r="B313" s="28" t="s">
        <v>318</v>
      </c>
      <c r="C313" s="29">
        <v>90</v>
      </c>
      <c r="D313" s="30"/>
      <c r="E313" s="31"/>
    </row>
    <row r="314" spans="1:5" ht="14.5" customHeight="1" thickBot="1" x14ac:dyDescent="0.3">
      <c r="A314" s="41">
        <v>16650</v>
      </c>
      <c r="B314" s="28" t="s">
        <v>319</v>
      </c>
      <c r="C314" s="29">
        <v>50</v>
      </c>
      <c r="D314" s="30"/>
      <c r="E314" s="31"/>
    </row>
    <row r="315" spans="1:5" ht="16" thickBot="1" x14ac:dyDescent="0.3">
      <c r="A315" s="41">
        <v>17015</v>
      </c>
      <c r="B315" s="28" t="s">
        <v>320</v>
      </c>
      <c r="C315" s="29">
        <v>100</v>
      </c>
      <c r="D315" s="30"/>
      <c r="E315" s="31"/>
    </row>
    <row r="316" spans="1:5" ht="16" thickBot="1" x14ac:dyDescent="0.3">
      <c r="A316" s="41">
        <v>17380</v>
      </c>
      <c r="B316" s="28" t="s">
        <v>321</v>
      </c>
      <c r="C316" s="29">
        <v>150</v>
      </c>
      <c r="D316" s="30"/>
      <c r="E316" s="31"/>
    </row>
    <row r="317" spans="1:5" ht="31.5" thickBot="1" x14ac:dyDescent="0.3">
      <c r="A317" s="41">
        <v>17746</v>
      </c>
      <c r="B317" s="28" t="s">
        <v>322</v>
      </c>
      <c r="C317" s="29">
        <v>110</v>
      </c>
      <c r="D317" s="30"/>
      <c r="E317" s="31"/>
    </row>
    <row r="318" spans="1:5" ht="31.5" thickBot="1" x14ac:dyDescent="0.3">
      <c r="A318" s="41">
        <v>18111</v>
      </c>
      <c r="B318" s="28" t="s">
        <v>323</v>
      </c>
      <c r="C318" s="29">
        <v>150</v>
      </c>
      <c r="D318" s="30"/>
      <c r="E318" s="31"/>
    </row>
    <row r="319" spans="1:5" ht="168.5" thickBot="1" x14ac:dyDescent="0.3">
      <c r="A319" s="41">
        <v>18476</v>
      </c>
      <c r="B319" s="28" t="s">
        <v>324</v>
      </c>
      <c r="C319" s="29" t="s">
        <v>325</v>
      </c>
      <c r="D319" s="30"/>
      <c r="E319" s="31"/>
    </row>
    <row r="320" spans="1:5" ht="16" thickBot="1" x14ac:dyDescent="0.3">
      <c r="A320" s="41">
        <v>18841</v>
      </c>
      <c r="B320" s="28" t="s">
        <v>326</v>
      </c>
      <c r="C320" s="29">
        <v>75</v>
      </c>
      <c r="D320" s="30"/>
      <c r="E320" s="31"/>
    </row>
    <row r="321" spans="1:5" ht="16" thickBot="1" x14ac:dyDescent="0.3">
      <c r="A321" s="41">
        <v>19207</v>
      </c>
      <c r="B321" s="28" t="s">
        <v>327</v>
      </c>
      <c r="C321" s="29">
        <v>100</v>
      </c>
      <c r="D321" s="30"/>
      <c r="E321" s="31"/>
    </row>
    <row r="322" spans="1:5" ht="31.5" thickBot="1" x14ac:dyDescent="0.3">
      <c r="A322" s="41">
        <v>19572</v>
      </c>
      <c r="B322" s="28" t="s">
        <v>328</v>
      </c>
      <c r="C322" s="29">
        <v>150</v>
      </c>
      <c r="D322" s="30"/>
      <c r="E322" s="31"/>
    </row>
    <row r="323" spans="1:5" ht="16" thickBot="1" x14ac:dyDescent="0.3">
      <c r="A323" s="41">
        <v>19937</v>
      </c>
      <c r="B323" s="28" t="s">
        <v>329</v>
      </c>
      <c r="C323" s="29">
        <v>10</v>
      </c>
      <c r="D323" s="30"/>
      <c r="E323" s="31"/>
    </row>
    <row r="324" spans="1:5" ht="14.5" customHeight="1" thickBot="1" x14ac:dyDescent="0.3">
      <c r="A324" s="41">
        <v>20302</v>
      </c>
      <c r="B324" s="28" t="s">
        <v>330</v>
      </c>
      <c r="C324" s="29">
        <v>50</v>
      </c>
      <c r="D324" s="30"/>
      <c r="E324" s="31"/>
    </row>
    <row r="325" spans="1:5" ht="16" thickBot="1" x14ac:dyDescent="0.3">
      <c r="A325" s="41">
        <v>20668</v>
      </c>
      <c r="B325" s="28" t="s">
        <v>331</v>
      </c>
      <c r="C325" s="29">
        <v>100</v>
      </c>
      <c r="D325" s="30"/>
      <c r="E325" s="31"/>
    </row>
    <row r="326" spans="1:5" ht="16" thickBot="1" x14ac:dyDescent="0.3">
      <c r="A326" s="41">
        <v>21033</v>
      </c>
      <c r="B326" s="28" t="s">
        <v>332</v>
      </c>
      <c r="C326" s="29">
        <v>150</v>
      </c>
      <c r="D326" s="30"/>
      <c r="E326" s="31"/>
    </row>
    <row r="327" spans="1:5" ht="16" thickBot="1" x14ac:dyDescent="0.3">
      <c r="A327" s="41">
        <v>21398</v>
      </c>
      <c r="B327" s="28" t="s">
        <v>333</v>
      </c>
      <c r="C327" s="29">
        <v>400</v>
      </c>
      <c r="D327" s="30"/>
      <c r="E327" s="31"/>
    </row>
    <row r="328" spans="1:5" ht="31.5" thickBot="1" x14ac:dyDescent="0.3">
      <c r="A328" s="41">
        <v>21763</v>
      </c>
      <c r="B328" s="28" t="s">
        <v>334</v>
      </c>
      <c r="C328" s="29" t="s">
        <v>335</v>
      </c>
      <c r="D328" s="30"/>
      <c r="E328" s="31"/>
    </row>
    <row r="329" spans="1:5" ht="16" thickBot="1" x14ac:dyDescent="0.3">
      <c r="A329" s="41" t="s">
        <v>336</v>
      </c>
      <c r="B329" s="28" t="s">
        <v>337</v>
      </c>
      <c r="C329" s="29"/>
      <c r="D329" s="30"/>
      <c r="E329" s="31"/>
    </row>
    <row r="330" spans="1:5" ht="16" thickBot="1" x14ac:dyDescent="0.3">
      <c r="A330" s="41">
        <v>45666</v>
      </c>
      <c r="B330" s="28" t="s">
        <v>338</v>
      </c>
      <c r="C330" s="29" t="s">
        <v>339</v>
      </c>
      <c r="D330" s="30"/>
      <c r="E330" s="31"/>
    </row>
    <row r="331" spans="1:5" ht="16" thickBot="1" x14ac:dyDescent="0.3">
      <c r="A331" s="41">
        <v>45697</v>
      </c>
      <c r="B331" s="28" t="s">
        <v>340</v>
      </c>
      <c r="C331" s="29">
        <v>40</v>
      </c>
      <c r="D331" s="30"/>
      <c r="E331" s="31"/>
    </row>
    <row r="332" spans="1:5" ht="16" thickBot="1" x14ac:dyDescent="0.3">
      <c r="A332" s="41">
        <v>45725</v>
      </c>
      <c r="B332" s="28" t="s">
        <v>341</v>
      </c>
      <c r="C332" s="29">
        <v>200</v>
      </c>
      <c r="D332" s="30"/>
      <c r="E332" s="31"/>
    </row>
    <row r="333" spans="1:5" ht="16" thickBot="1" x14ac:dyDescent="0.3">
      <c r="A333" s="41">
        <v>45756</v>
      </c>
      <c r="B333" s="28" t="s">
        <v>342</v>
      </c>
      <c r="C333" s="29">
        <v>150</v>
      </c>
      <c r="D333" s="30"/>
      <c r="E333" s="31"/>
    </row>
    <row r="334" spans="1:5" ht="16" thickBot="1" x14ac:dyDescent="0.3">
      <c r="A334" s="41">
        <v>45786</v>
      </c>
      <c r="B334" s="24" t="s">
        <v>343</v>
      </c>
      <c r="C334" s="25">
        <v>30</v>
      </c>
      <c r="D334" s="26"/>
      <c r="E334" s="27"/>
    </row>
    <row r="335" spans="1:5" ht="16" thickBot="1" x14ac:dyDescent="0.3">
      <c r="A335" s="23">
        <v>45817</v>
      </c>
      <c r="B335" s="28" t="s">
        <v>344</v>
      </c>
      <c r="C335" s="29">
        <v>30</v>
      </c>
      <c r="D335" s="30"/>
      <c r="E335" s="31"/>
    </row>
    <row r="336" spans="1:5" ht="16" thickBot="1" x14ac:dyDescent="0.3">
      <c r="A336" s="23">
        <v>45847</v>
      </c>
      <c r="B336" s="28" t="s">
        <v>345</v>
      </c>
      <c r="C336" s="29">
        <v>120</v>
      </c>
      <c r="D336" s="30"/>
      <c r="E336" s="31"/>
    </row>
    <row r="337" spans="1:5" ht="16" thickBot="1" x14ac:dyDescent="0.3">
      <c r="A337" s="23">
        <v>45878</v>
      </c>
      <c r="B337" s="28" t="s">
        <v>346</v>
      </c>
      <c r="C337" s="45">
        <v>150</v>
      </c>
      <c r="D337" s="30"/>
      <c r="E337" s="31"/>
    </row>
    <row r="338" spans="1:5" ht="16" thickBot="1" x14ac:dyDescent="0.3">
      <c r="A338" s="23">
        <v>45909</v>
      </c>
      <c r="B338" s="28" t="s">
        <v>347</v>
      </c>
      <c r="C338" s="29">
        <v>90</v>
      </c>
      <c r="D338" s="30"/>
      <c r="E338" s="31"/>
    </row>
    <row r="339" spans="1:5" ht="16" thickBot="1" x14ac:dyDescent="0.3">
      <c r="A339" s="23">
        <v>45939</v>
      </c>
      <c r="B339" s="28" t="s">
        <v>348</v>
      </c>
      <c r="C339" s="29">
        <v>120</v>
      </c>
      <c r="D339" s="30"/>
      <c r="E339" s="31"/>
    </row>
    <row r="340" spans="1:5" ht="16" thickBot="1" x14ac:dyDescent="0.3">
      <c r="A340" s="23">
        <v>45970</v>
      </c>
      <c r="B340" s="28" t="s">
        <v>349</v>
      </c>
      <c r="C340" s="29">
        <v>50</v>
      </c>
      <c r="D340" s="30"/>
      <c r="E340" s="31"/>
    </row>
    <row r="341" spans="1:5" ht="16" thickBot="1" x14ac:dyDescent="0.3">
      <c r="A341" s="23">
        <v>46000</v>
      </c>
      <c r="B341" s="28" t="s">
        <v>350</v>
      </c>
      <c r="C341" s="29">
        <v>90</v>
      </c>
      <c r="D341" s="30"/>
      <c r="E341" s="31"/>
    </row>
    <row r="342" spans="1:5" ht="16" thickBot="1" x14ac:dyDescent="0.3">
      <c r="A342" s="23">
        <v>41518</v>
      </c>
      <c r="B342" s="28" t="s">
        <v>351</v>
      </c>
      <c r="C342" s="29">
        <v>140</v>
      </c>
      <c r="D342" s="30"/>
      <c r="E342" s="31"/>
    </row>
    <row r="343" spans="1:5" ht="16" thickBot="1" x14ac:dyDescent="0.3">
      <c r="A343" s="23">
        <v>41883</v>
      </c>
      <c r="B343" s="28" t="s">
        <v>352</v>
      </c>
      <c r="C343" s="29">
        <v>120</v>
      </c>
      <c r="D343" s="30"/>
      <c r="E343" s="31"/>
    </row>
    <row r="344" spans="1:5" ht="16" thickBot="1" x14ac:dyDescent="0.3">
      <c r="A344" s="23">
        <v>42248</v>
      </c>
      <c r="B344" s="28" t="s">
        <v>353</v>
      </c>
      <c r="C344" s="29">
        <v>200</v>
      </c>
      <c r="D344" s="30"/>
      <c r="E344" s="31"/>
    </row>
    <row r="345" spans="1:5" ht="31.5" thickBot="1" x14ac:dyDescent="0.3">
      <c r="A345" s="23">
        <v>42614</v>
      </c>
      <c r="B345" s="28" t="s">
        <v>354</v>
      </c>
      <c r="C345" s="29">
        <v>150</v>
      </c>
      <c r="D345" s="30"/>
      <c r="E345" s="31"/>
    </row>
    <row r="346" spans="1:5" ht="31.5" thickBot="1" x14ac:dyDescent="0.3">
      <c r="A346" s="23">
        <v>42979</v>
      </c>
      <c r="B346" s="28" t="s">
        <v>355</v>
      </c>
      <c r="C346" s="29">
        <v>270</v>
      </c>
      <c r="D346" s="30"/>
      <c r="E346" s="31"/>
    </row>
    <row r="347" spans="1:5" ht="16" thickBot="1" x14ac:dyDescent="0.3">
      <c r="A347" s="41">
        <v>43344</v>
      </c>
      <c r="B347" s="28" t="s">
        <v>356</v>
      </c>
      <c r="C347" s="29">
        <v>200</v>
      </c>
      <c r="D347" s="30"/>
      <c r="E347" s="31"/>
    </row>
    <row r="348" spans="1:5" ht="16" thickBot="1" x14ac:dyDescent="0.3">
      <c r="A348" s="41">
        <v>43709</v>
      </c>
      <c r="B348" s="28" t="s">
        <v>357</v>
      </c>
      <c r="C348" s="29">
        <v>400</v>
      </c>
      <c r="D348" s="30"/>
      <c r="E348" s="31"/>
    </row>
    <row r="349" spans="1:5" ht="31.5" thickBot="1" x14ac:dyDescent="0.3">
      <c r="A349" s="41">
        <v>44075</v>
      </c>
      <c r="B349" s="28" t="s">
        <v>358</v>
      </c>
      <c r="C349" s="29">
        <v>30</v>
      </c>
      <c r="D349" s="30"/>
      <c r="E349" s="31"/>
    </row>
    <row r="350" spans="1:5" ht="31.5" thickBot="1" x14ac:dyDescent="0.3">
      <c r="A350" s="41">
        <v>44440</v>
      </c>
      <c r="B350" s="28" t="s">
        <v>359</v>
      </c>
      <c r="C350" s="29">
        <v>50</v>
      </c>
      <c r="D350" s="30"/>
      <c r="E350" s="31"/>
    </row>
    <row r="351" spans="1:5" ht="31.5" thickBot="1" x14ac:dyDescent="0.3">
      <c r="A351" s="41">
        <v>44805</v>
      </c>
      <c r="B351" s="28" t="s">
        <v>360</v>
      </c>
      <c r="C351" s="29">
        <v>40</v>
      </c>
      <c r="D351" s="30"/>
      <c r="E351" s="31"/>
    </row>
    <row r="352" spans="1:5" ht="31.5" thickBot="1" x14ac:dyDescent="0.3">
      <c r="A352" s="41">
        <v>45170</v>
      </c>
      <c r="B352" s="28" t="s">
        <v>361</v>
      </c>
      <c r="C352" s="29">
        <v>70</v>
      </c>
      <c r="D352" s="30"/>
      <c r="E352" s="31"/>
    </row>
    <row r="353" spans="1:5" ht="168.5" thickBot="1" x14ac:dyDescent="0.3">
      <c r="A353" s="41">
        <v>45536</v>
      </c>
      <c r="B353" s="28" t="s">
        <v>362</v>
      </c>
      <c r="C353" s="29" t="s">
        <v>363</v>
      </c>
      <c r="D353" s="30"/>
      <c r="E353" s="31"/>
    </row>
    <row r="354" spans="1:5" ht="31.5" thickBot="1" x14ac:dyDescent="0.3">
      <c r="A354" s="41">
        <v>45901</v>
      </c>
      <c r="B354" s="28" t="s">
        <v>364</v>
      </c>
      <c r="C354" s="29">
        <v>60</v>
      </c>
      <c r="D354" s="30"/>
      <c r="E354" s="31"/>
    </row>
    <row r="355" spans="1:5" ht="16" thickBot="1" x14ac:dyDescent="0.3">
      <c r="A355" s="41">
        <v>46266</v>
      </c>
      <c r="B355" s="28" t="s">
        <v>365</v>
      </c>
      <c r="C355" s="29">
        <v>30</v>
      </c>
      <c r="D355" s="30"/>
      <c r="E355" s="31"/>
    </row>
    <row r="356" spans="1:5" ht="31.5" thickBot="1" x14ac:dyDescent="0.3">
      <c r="A356" s="41">
        <v>46631</v>
      </c>
      <c r="B356" s="28" t="s">
        <v>366</v>
      </c>
      <c r="C356" s="29">
        <v>30</v>
      </c>
      <c r="D356" s="30"/>
      <c r="E356" s="31"/>
    </row>
    <row r="357" spans="1:5" ht="16" thickBot="1" x14ac:dyDescent="0.3">
      <c r="A357" s="41">
        <v>46997</v>
      </c>
      <c r="B357" s="28" t="s">
        <v>367</v>
      </c>
      <c r="C357" s="29">
        <v>300</v>
      </c>
      <c r="D357" s="30"/>
      <c r="E357" s="31"/>
    </row>
    <row r="358" spans="1:5" ht="14.5" customHeight="1" thickBot="1" x14ac:dyDescent="0.3">
      <c r="A358" s="41">
        <v>47362</v>
      </c>
      <c r="B358" s="28" t="s">
        <v>368</v>
      </c>
      <c r="C358" s="29">
        <v>250</v>
      </c>
      <c r="D358" s="30"/>
      <c r="E358" s="31"/>
    </row>
    <row r="359" spans="1:5" ht="16" thickBot="1" x14ac:dyDescent="0.3">
      <c r="A359" s="41">
        <v>11202</v>
      </c>
      <c r="B359" s="28" t="s">
        <v>369</v>
      </c>
      <c r="C359" s="29">
        <v>170</v>
      </c>
      <c r="D359" s="30"/>
      <c r="E359" s="31"/>
    </row>
    <row r="360" spans="1:5" ht="31.5" thickBot="1" x14ac:dyDescent="0.3">
      <c r="A360" s="41">
        <v>11567</v>
      </c>
      <c r="B360" s="28" t="s">
        <v>370</v>
      </c>
      <c r="C360" s="29">
        <v>60</v>
      </c>
      <c r="D360" s="30"/>
      <c r="E360" s="31"/>
    </row>
    <row r="361" spans="1:5" ht="16" thickBot="1" x14ac:dyDescent="0.3">
      <c r="A361" s="41">
        <v>11933</v>
      </c>
      <c r="B361" s="28" t="s">
        <v>371</v>
      </c>
      <c r="C361" s="29">
        <v>30</v>
      </c>
      <c r="D361" s="30"/>
      <c r="E361" s="31"/>
    </row>
    <row r="362" spans="1:5" ht="168.5" thickBot="1" x14ac:dyDescent="0.3">
      <c r="A362" s="41">
        <v>12298</v>
      </c>
      <c r="B362" s="28" t="s">
        <v>372</v>
      </c>
      <c r="C362" s="29" t="s">
        <v>373</v>
      </c>
      <c r="D362" s="30"/>
      <c r="E362" s="31"/>
    </row>
    <row r="363" spans="1:5" ht="16" thickBot="1" x14ac:dyDescent="0.3">
      <c r="A363" s="41"/>
      <c r="B363" s="28" t="s">
        <v>374</v>
      </c>
      <c r="C363" s="29"/>
      <c r="D363" s="30"/>
      <c r="E363" s="31"/>
    </row>
    <row r="364" spans="1:5" ht="16" thickBot="1" x14ac:dyDescent="0.3">
      <c r="A364" s="41">
        <v>12663</v>
      </c>
      <c r="B364" s="28" t="s">
        <v>375</v>
      </c>
      <c r="C364" s="29">
        <v>30</v>
      </c>
      <c r="D364" s="30"/>
      <c r="E364" s="31"/>
    </row>
    <row r="365" spans="1:5" ht="98.5" thickBot="1" x14ac:dyDescent="0.3">
      <c r="A365" s="41">
        <v>13028</v>
      </c>
      <c r="B365" s="28" t="s">
        <v>376</v>
      </c>
      <c r="C365" s="29" t="s">
        <v>235</v>
      </c>
      <c r="D365" s="30"/>
      <c r="E365" s="31"/>
    </row>
    <row r="366" spans="1:5" ht="16" thickBot="1" x14ac:dyDescent="0.3">
      <c r="A366" s="41">
        <v>13394</v>
      </c>
      <c r="B366" s="28" t="s">
        <v>377</v>
      </c>
      <c r="C366" s="29">
        <v>60</v>
      </c>
      <c r="D366" s="30"/>
      <c r="E366" s="31"/>
    </row>
    <row r="367" spans="1:5" ht="28.15" customHeight="1" thickBot="1" x14ac:dyDescent="0.3">
      <c r="A367" s="41">
        <v>13759</v>
      </c>
      <c r="B367" s="28" t="e">
        <f>- obou</f>
        <v>#NAME?</v>
      </c>
      <c r="C367" s="29">
        <v>100</v>
      </c>
      <c r="D367" s="30"/>
      <c r="E367" s="31"/>
    </row>
    <row r="368" spans="1:5" ht="16" thickBot="1" x14ac:dyDescent="0.3">
      <c r="A368" s="48">
        <v>14124</v>
      </c>
      <c r="B368" s="24" t="s">
        <v>378</v>
      </c>
      <c r="C368" s="25">
        <v>75</v>
      </c>
      <c r="D368" s="26"/>
      <c r="E368" s="27"/>
    </row>
    <row r="369" spans="1:5" ht="16" thickBot="1" x14ac:dyDescent="0.3">
      <c r="A369" s="41">
        <v>14489</v>
      </c>
      <c r="B369" s="28" t="s">
        <v>379</v>
      </c>
      <c r="C369" s="29">
        <v>100</v>
      </c>
      <c r="D369" s="30"/>
      <c r="E369" s="31"/>
    </row>
    <row r="370" spans="1:5" ht="28.15" customHeight="1" thickBot="1" x14ac:dyDescent="0.3">
      <c r="A370" s="41">
        <v>14855</v>
      </c>
      <c r="B370" s="28" t="s">
        <v>380</v>
      </c>
      <c r="C370" s="29">
        <v>50</v>
      </c>
      <c r="D370" s="30"/>
      <c r="E370" s="31"/>
    </row>
    <row r="371" spans="1:5" ht="31.5" thickBot="1" x14ac:dyDescent="0.3">
      <c r="A371" s="41">
        <v>15220</v>
      </c>
      <c r="B371" s="28" t="s">
        <v>381</v>
      </c>
      <c r="C371" s="29">
        <v>110</v>
      </c>
      <c r="D371" s="30"/>
      <c r="E371" s="31"/>
    </row>
    <row r="372" spans="1:5" ht="31.5" thickBot="1" x14ac:dyDescent="0.3">
      <c r="A372" s="41">
        <v>15585</v>
      </c>
      <c r="B372" s="28" t="s">
        <v>382</v>
      </c>
      <c r="C372" s="29">
        <v>150</v>
      </c>
      <c r="D372" s="30"/>
      <c r="E372" s="31"/>
    </row>
    <row r="373" spans="1:5" ht="168.5" thickBot="1" x14ac:dyDescent="0.3">
      <c r="A373" s="41">
        <v>15950</v>
      </c>
      <c r="B373" s="28" t="s">
        <v>383</v>
      </c>
      <c r="C373" s="29" t="s">
        <v>384</v>
      </c>
      <c r="D373" s="30"/>
      <c r="E373" s="31"/>
    </row>
    <row r="374" spans="1:5" ht="16" thickBot="1" x14ac:dyDescent="0.3">
      <c r="A374" s="41">
        <v>16316</v>
      </c>
      <c r="B374" s="28" t="s">
        <v>385</v>
      </c>
      <c r="C374" s="29">
        <v>100</v>
      </c>
      <c r="D374" s="30"/>
      <c r="E374" s="31"/>
    </row>
    <row r="375" spans="1:5" ht="16" thickBot="1" x14ac:dyDescent="0.3">
      <c r="A375" s="41">
        <v>16681</v>
      </c>
      <c r="B375" s="28" t="s">
        <v>386</v>
      </c>
      <c r="C375" s="29">
        <v>150</v>
      </c>
      <c r="D375" s="30"/>
      <c r="E375" s="31"/>
    </row>
    <row r="376" spans="1:5" ht="16" thickBot="1" x14ac:dyDescent="0.3">
      <c r="A376" s="41">
        <v>17046</v>
      </c>
      <c r="B376" s="28" t="s">
        <v>387</v>
      </c>
      <c r="C376" s="29">
        <v>150</v>
      </c>
      <c r="D376" s="30"/>
      <c r="E376" s="31"/>
    </row>
    <row r="377" spans="1:5" ht="16" thickBot="1" x14ac:dyDescent="0.3">
      <c r="A377" s="41">
        <v>17411</v>
      </c>
      <c r="B377" s="28" t="s">
        <v>388</v>
      </c>
      <c r="C377" s="29">
        <v>20</v>
      </c>
      <c r="D377" s="30"/>
      <c r="E377" s="31"/>
    </row>
    <row r="378" spans="1:5" ht="14.5" customHeight="1" thickBot="1" x14ac:dyDescent="0.3">
      <c r="A378" s="41">
        <v>17777</v>
      </c>
      <c r="B378" s="28" t="s">
        <v>389</v>
      </c>
      <c r="C378" s="29">
        <v>50</v>
      </c>
      <c r="D378" s="30"/>
      <c r="E378" s="31"/>
    </row>
    <row r="379" spans="1:5" ht="16" thickBot="1" x14ac:dyDescent="0.3">
      <c r="A379" s="41">
        <v>18142</v>
      </c>
      <c r="B379" s="28" t="s">
        <v>390</v>
      </c>
      <c r="C379" s="29">
        <v>150</v>
      </c>
      <c r="D379" s="30"/>
      <c r="E379" s="31"/>
    </row>
    <row r="380" spans="1:5" ht="16" thickBot="1" x14ac:dyDescent="0.3">
      <c r="A380" s="41">
        <v>18507</v>
      </c>
      <c r="B380" s="28" t="s">
        <v>391</v>
      </c>
      <c r="C380" s="29">
        <v>400</v>
      </c>
      <c r="D380" s="30"/>
      <c r="E380" s="31"/>
    </row>
    <row r="381" spans="1:5" ht="31.5" thickBot="1" x14ac:dyDescent="0.3">
      <c r="A381" s="41">
        <v>18872</v>
      </c>
      <c r="B381" s="28" t="s">
        <v>392</v>
      </c>
      <c r="C381" s="29">
        <v>100</v>
      </c>
      <c r="D381" s="30"/>
      <c r="E381" s="31"/>
    </row>
    <row r="382" spans="1:5" ht="16" thickBot="1" x14ac:dyDescent="0.3">
      <c r="A382" s="41">
        <v>19238</v>
      </c>
      <c r="B382" s="28" t="s">
        <v>393</v>
      </c>
      <c r="C382" s="29">
        <v>150</v>
      </c>
      <c r="D382" s="30"/>
      <c r="E382" s="31"/>
    </row>
    <row r="383" spans="1:5" ht="16" thickBot="1" x14ac:dyDescent="0.3">
      <c r="A383" s="41">
        <v>19603</v>
      </c>
      <c r="B383" s="28" t="s">
        <v>394</v>
      </c>
      <c r="C383" s="29">
        <v>180</v>
      </c>
      <c r="D383" s="30"/>
      <c r="E383" s="31"/>
    </row>
    <row r="384" spans="1:5" ht="16" thickBot="1" x14ac:dyDescent="0.3">
      <c r="A384" s="41" t="s">
        <v>395</v>
      </c>
      <c r="B384" s="28" t="s">
        <v>396</v>
      </c>
      <c r="C384" s="29"/>
      <c r="D384" s="30"/>
      <c r="E384" s="31"/>
    </row>
    <row r="385" spans="1:5" ht="16" thickBot="1" x14ac:dyDescent="0.3">
      <c r="A385" s="41">
        <v>45667</v>
      </c>
      <c r="B385" s="28" t="s">
        <v>397</v>
      </c>
      <c r="C385" s="29">
        <v>50</v>
      </c>
      <c r="D385" s="30"/>
      <c r="E385" s="31"/>
    </row>
    <row r="386" spans="1:5" ht="16" thickBot="1" x14ac:dyDescent="0.3">
      <c r="A386" s="41">
        <v>45698</v>
      </c>
      <c r="B386" s="28" t="s">
        <v>398</v>
      </c>
      <c r="C386" s="29">
        <v>120</v>
      </c>
      <c r="D386" s="30"/>
      <c r="E386" s="31"/>
    </row>
    <row r="387" spans="1:5" ht="16" thickBot="1" x14ac:dyDescent="0.3">
      <c r="A387" s="41">
        <v>45726</v>
      </c>
      <c r="B387" s="28" t="s">
        <v>399</v>
      </c>
      <c r="C387" s="29">
        <v>150</v>
      </c>
      <c r="D387" s="30"/>
      <c r="E387" s="31"/>
    </row>
    <row r="388" spans="1:5" ht="16" thickBot="1" x14ac:dyDescent="0.3">
      <c r="A388" s="41">
        <v>45757</v>
      </c>
      <c r="B388" s="28" t="s">
        <v>400</v>
      </c>
      <c r="C388" s="29">
        <v>50</v>
      </c>
      <c r="D388" s="30"/>
      <c r="E388" s="31"/>
    </row>
    <row r="389" spans="1:5" ht="16" thickBot="1" x14ac:dyDescent="0.3">
      <c r="A389" s="41">
        <v>45787</v>
      </c>
      <c r="B389" s="24" t="s">
        <v>401</v>
      </c>
      <c r="C389" s="25">
        <v>120</v>
      </c>
      <c r="D389" s="26"/>
      <c r="E389" s="27"/>
    </row>
    <row r="390" spans="1:5" ht="16" thickBot="1" x14ac:dyDescent="0.3">
      <c r="A390" s="23">
        <v>45818</v>
      </c>
      <c r="B390" s="28" t="e">
        <f>- hluboká s poraněním žlučových cest</f>
        <v>#NAME?</v>
      </c>
      <c r="C390" s="29">
        <v>200</v>
      </c>
      <c r="D390" s="30"/>
      <c r="E390" s="31"/>
    </row>
    <row r="391" spans="1:5" ht="16" thickBot="1" x14ac:dyDescent="0.3">
      <c r="A391" s="23">
        <v>45848</v>
      </c>
      <c r="B391" s="28" t="s">
        <v>402</v>
      </c>
      <c r="C391" s="29">
        <v>250</v>
      </c>
      <c r="D391" s="30"/>
      <c r="E391" s="31"/>
    </row>
    <row r="392" spans="1:5" ht="16" thickBot="1" x14ac:dyDescent="0.3">
      <c r="A392" s="23">
        <v>45879</v>
      </c>
      <c r="B392" s="28" t="e">
        <f>- oba laloky</f>
        <v>#NAME?</v>
      </c>
      <c r="C392" s="29">
        <v>500</v>
      </c>
      <c r="D392" s="30"/>
      <c r="E392" s="31"/>
    </row>
    <row r="393" spans="1:5" ht="16" thickBot="1" x14ac:dyDescent="0.3">
      <c r="A393" s="23">
        <v>45910</v>
      </c>
      <c r="B393" s="28" t="s">
        <v>403</v>
      </c>
      <c r="C393" s="29">
        <v>200</v>
      </c>
      <c r="D393" s="30"/>
      <c r="E393" s="31"/>
    </row>
    <row r="394" spans="1:5" ht="16" thickBot="1" x14ac:dyDescent="0.3">
      <c r="A394" s="23">
        <v>45940</v>
      </c>
      <c r="B394" s="28" t="s">
        <v>404</v>
      </c>
      <c r="C394" s="29">
        <v>80</v>
      </c>
      <c r="D394" s="30"/>
      <c r="E394" s="31"/>
    </row>
    <row r="395" spans="1:5" ht="16" thickBot="1" x14ac:dyDescent="0.3">
      <c r="A395" s="23">
        <v>45971</v>
      </c>
      <c r="B395" s="28" t="s">
        <v>405</v>
      </c>
      <c r="C395" s="29">
        <v>150</v>
      </c>
      <c r="D395" s="30"/>
      <c r="E395" s="31"/>
    </row>
    <row r="396" spans="1:5" ht="16" thickBot="1" x14ac:dyDescent="0.3">
      <c r="A396" s="23">
        <v>46001</v>
      </c>
      <c r="B396" s="28" t="s">
        <v>406</v>
      </c>
      <c r="C396" s="29">
        <v>200</v>
      </c>
      <c r="D396" s="30"/>
      <c r="E396" s="31"/>
    </row>
    <row r="397" spans="1:5" ht="16" thickBot="1" x14ac:dyDescent="0.3">
      <c r="A397" s="23">
        <v>41548</v>
      </c>
      <c r="B397" s="28" t="s">
        <v>407</v>
      </c>
      <c r="C397" s="29">
        <v>250</v>
      </c>
      <c r="D397" s="30"/>
      <c r="E397" s="31"/>
    </row>
    <row r="398" spans="1:5" ht="16" thickBot="1" x14ac:dyDescent="0.3">
      <c r="A398" s="23">
        <v>41913</v>
      </c>
      <c r="B398" s="28" t="s">
        <v>408</v>
      </c>
      <c r="C398" s="29">
        <v>50</v>
      </c>
      <c r="D398" s="30"/>
      <c r="E398" s="31"/>
    </row>
    <row r="399" spans="1:5" ht="16" thickBot="1" x14ac:dyDescent="0.3">
      <c r="A399" s="23">
        <v>42278</v>
      </c>
      <c r="B399" s="28" t="s">
        <v>409</v>
      </c>
      <c r="C399" s="29">
        <v>100</v>
      </c>
      <c r="D399" s="30"/>
      <c r="E399" s="31"/>
    </row>
    <row r="400" spans="1:5" ht="16" thickBot="1" x14ac:dyDescent="0.3">
      <c r="A400" s="23">
        <v>42644</v>
      </c>
      <c r="B400" s="28" t="s">
        <v>410</v>
      </c>
      <c r="C400" s="29">
        <v>50</v>
      </c>
      <c r="D400" s="30"/>
      <c r="E400" s="31"/>
    </row>
    <row r="401" spans="1:5" ht="16" thickBot="1" x14ac:dyDescent="0.3">
      <c r="A401" s="23">
        <v>43009</v>
      </c>
      <c r="B401" s="28" t="s">
        <v>411</v>
      </c>
      <c r="C401" s="29">
        <v>150</v>
      </c>
      <c r="D401" s="30"/>
      <c r="E401" s="31"/>
    </row>
    <row r="402" spans="1:5" ht="16" thickBot="1" x14ac:dyDescent="0.3">
      <c r="A402" s="41">
        <v>43374</v>
      </c>
      <c r="B402" s="28" t="s">
        <v>412</v>
      </c>
      <c r="C402" s="29">
        <v>50</v>
      </c>
      <c r="D402" s="30"/>
      <c r="E402" s="31"/>
    </row>
    <row r="403" spans="1:5" ht="16" thickBot="1" x14ac:dyDescent="0.3">
      <c r="A403" s="41">
        <v>43739</v>
      </c>
      <c r="B403" s="28" t="s">
        <v>413</v>
      </c>
      <c r="C403" s="29">
        <v>100</v>
      </c>
      <c r="D403" s="30"/>
      <c r="E403" s="31"/>
    </row>
    <row r="404" spans="1:5" ht="16" thickBot="1" x14ac:dyDescent="0.3">
      <c r="A404" s="41">
        <v>44105</v>
      </c>
      <c r="B404" s="28" t="s">
        <v>414</v>
      </c>
      <c r="C404" s="29">
        <v>50</v>
      </c>
      <c r="D404" s="30"/>
      <c r="E404" s="31"/>
    </row>
    <row r="405" spans="1:5" ht="16" thickBot="1" x14ac:dyDescent="0.3">
      <c r="A405" s="41">
        <v>44470</v>
      </c>
      <c r="B405" s="28" t="s">
        <v>415</v>
      </c>
      <c r="C405" s="29">
        <v>150</v>
      </c>
      <c r="D405" s="30"/>
      <c r="E405" s="31"/>
    </row>
    <row r="406" spans="1:5" ht="16" thickBot="1" x14ac:dyDescent="0.3">
      <c r="A406" s="41">
        <v>44835</v>
      </c>
      <c r="B406" s="28" t="s">
        <v>416</v>
      </c>
      <c r="C406" s="29">
        <v>100</v>
      </c>
      <c r="D406" s="30"/>
      <c r="E406" s="31"/>
    </row>
    <row r="407" spans="1:5" ht="16" thickBot="1" x14ac:dyDescent="0.3">
      <c r="A407" s="41">
        <v>45200</v>
      </c>
      <c r="B407" s="28" t="s">
        <v>417</v>
      </c>
      <c r="C407" s="29">
        <v>150</v>
      </c>
      <c r="D407" s="30"/>
      <c r="E407" s="31"/>
    </row>
    <row r="408" spans="1:5" ht="16" thickBot="1" x14ac:dyDescent="0.3">
      <c r="A408" s="41">
        <v>45566</v>
      </c>
      <c r="B408" s="28" t="s">
        <v>418</v>
      </c>
      <c r="C408" s="29">
        <v>80</v>
      </c>
      <c r="D408" s="30"/>
      <c r="E408" s="31"/>
    </row>
    <row r="409" spans="1:5" ht="154.5" thickBot="1" x14ac:dyDescent="0.3">
      <c r="A409" s="41">
        <v>45931</v>
      </c>
      <c r="B409" s="28" t="s">
        <v>419</v>
      </c>
      <c r="C409" s="29" t="s">
        <v>420</v>
      </c>
      <c r="D409" s="30"/>
      <c r="E409" s="31"/>
    </row>
    <row r="410" spans="1:5" ht="31.5" thickBot="1" x14ac:dyDescent="0.3">
      <c r="A410" s="41">
        <v>46296</v>
      </c>
      <c r="B410" s="28" t="s">
        <v>421</v>
      </c>
      <c r="C410" s="29">
        <v>100</v>
      </c>
      <c r="D410" s="30"/>
      <c r="E410" s="31"/>
    </row>
    <row r="411" spans="1:5" ht="16" thickBot="1" x14ac:dyDescent="0.3">
      <c r="A411" s="41">
        <v>46661</v>
      </c>
      <c r="B411" s="28" t="s">
        <v>422</v>
      </c>
      <c r="C411" s="29">
        <v>150</v>
      </c>
      <c r="D411" s="30"/>
      <c r="E411" s="31"/>
    </row>
    <row r="412" spans="1:5" ht="16" thickBot="1" x14ac:dyDescent="0.3">
      <c r="A412" s="41">
        <v>47027</v>
      </c>
      <c r="B412" s="28" t="s">
        <v>423</v>
      </c>
      <c r="C412" s="29">
        <v>200</v>
      </c>
      <c r="D412" s="30"/>
      <c r="E412" s="31"/>
    </row>
    <row r="413" spans="1:5" ht="16" thickBot="1" x14ac:dyDescent="0.3">
      <c r="A413" s="41">
        <v>47392</v>
      </c>
      <c r="B413" s="28" t="s">
        <v>424</v>
      </c>
      <c r="C413" s="29">
        <v>200</v>
      </c>
      <c r="D413" s="30"/>
      <c r="E413" s="31"/>
    </row>
    <row r="414" spans="1:5" ht="14.5" customHeight="1" thickBot="1" x14ac:dyDescent="0.3">
      <c r="A414" s="41">
        <v>11232</v>
      </c>
      <c r="B414" s="28" t="s">
        <v>425</v>
      </c>
      <c r="C414" s="29">
        <v>180</v>
      </c>
      <c r="D414" s="30"/>
      <c r="E414" s="31"/>
    </row>
    <row r="415" spans="1:5" ht="168.5" thickBot="1" x14ac:dyDescent="0.3">
      <c r="A415" s="41">
        <v>11597</v>
      </c>
      <c r="B415" s="28" t="s">
        <v>426</v>
      </c>
      <c r="C415" s="29" t="s">
        <v>427</v>
      </c>
      <c r="D415" s="30"/>
      <c r="E415" s="31"/>
    </row>
    <row r="416" spans="1:5" ht="31.5" thickBot="1" x14ac:dyDescent="0.3">
      <c r="A416" s="41">
        <v>11963</v>
      </c>
      <c r="B416" s="28" t="s">
        <v>428</v>
      </c>
      <c r="C416" s="29">
        <v>50</v>
      </c>
      <c r="D416" s="30"/>
      <c r="E416" s="31"/>
    </row>
    <row r="417" spans="1:5" ht="16" thickBot="1" x14ac:dyDescent="0.3">
      <c r="A417" s="41">
        <v>12328</v>
      </c>
      <c r="B417" s="28" t="s">
        <v>429</v>
      </c>
      <c r="C417" s="29">
        <v>80</v>
      </c>
      <c r="D417" s="30"/>
      <c r="E417" s="31"/>
    </row>
    <row r="418" spans="1:5" ht="16" thickBot="1" x14ac:dyDescent="0.3">
      <c r="A418" s="41">
        <v>12693</v>
      </c>
      <c r="B418" s="28" t="s">
        <v>430</v>
      </c>
      <c r="C418" s="29">
        <v>60</v>
      </c>
      <c r="D418" s="30"/>
      <c r="E418" s="31"/>
    </row>
    <row r="419" spans="1:5" ht="16" thickBot="1" x14ac:dyDescent="0.3">
      <c r="A419" s="41">
        <v>13058</v>
      </c>
      <c r="B419" s="28" t="e">
        <f>- kompletní ruptura přední a střední části močové trubice</f>
        <v>#NAME?</v>
      </c>
      <c r="C419" s="29">
        <v>120</v>
      </c>
      <c r="D419" s="30"/>
      <c r="E419" s="31"/>
    </row>
    <row r="420" spans="1:5" ht="14.5" customHeight="1" thickBot="1" x14ac:dyDescent="0.3">
      <c r="A420" s="41">
        <v>13424</v>
      </c>
      <c r="B420" s="28" t="e">
        <f>- kompletní ruptura zadní části močové trubice</f>
        <v>#NAME?</v>
      </c>
      <c r="C420" s="29">
        <v>250</v>
      </c>
      <c r="D420" s="30"/>
      <c r="E420" s="31"/>
    </row>
    <row r="421" spans="1:5" ht="16" thickBot="1" x14ac:dyDescent="0.3">
      <c r="A421" s="41">
        <v>13789</v>
      </c>
      <c r="B421" s="28" t="s">
        <v>431</v>
      </c>
      <c r="C421" s="29" t="s">
        <v>432</v>
      </c>
      <c r="D421" s="30"/>
      <c r="E421" s="31"/>
    </row>
    <row r="422" spans="1:5" ht="16" thickBot="1" x14ac:dyDescent="0.3">
      <c r="A422" s="41">
        <v>14154</v>
      </c>
      <c r="B422" s="28" t="s">
        <v>433</v>
      </c>
      <c r="C422" s="29">
        <v>100</v>
      </c>
      <c r="D422" s="30"/>
      <c r="E422" s="31"/>
    </row>
    <row r="423" spans="1:5" ht="16" thickBot="1" x14ac:dyDescent="0.3">
      <c r="A423" s="41">
        <v>14519</v>
      </c>
      <c r="B423" s="28" t="s">
        <v>434</v>
      </c>
      <c r="C423" s="29">
        <v>130</v>
      </c>
      <c r="D423" s="30"/>
      <c r="E423" s="31"/>
    </row>
    <row r="424" spans="1:5" ht="16" thickBot="1" x14ac:dyDescent="0.3">
      <c r="A424" s="41">
        <v>14885</v>
      </c>
      <c r="B424" s="28" t="s">
        <v>435</v>
      </c>
      <c r="C424" s="29">
        <v>50</v>
      </c>
      <c r="D424" s="30"/>
      <c r="E424" s="31"/>
    </row>
    <row r="425" spans="1:5" ht="16" thickBot="1" x14ac:dyDescent="0.3">
      <c r="A425" s="41">
        <v>15250</v>
      </c>
      <c r="B425" s="28" t="s">
        <v>436</v>
      </c>
      <c r="C425" s="29" t="s">
        <v>225</v>
      </c>
      <c r="D425" s="30"/>
      <c r="E425" s="31"/>
    </row>
    <row r="426" spans="1:5" ht="31.5" thickBot="1" x14ac:dyDescent="0.3">
      <c r="A426" s="41">
        <v>15615</v>
      </c>
      <c r="B426" s="28" t="s">
        <v>437</v>
      </c>
      <c r="C426" s="29">
        <v>150</v>
      </c>
      <c r="D426" s="30"/>
      <c r="E426" s="31"/>
    </row>
    <row r="427" spans="1:5" ht="31.5" thickBot="1" x14ac:dyDescent="0.3">
      <c r="A427" s="41">
        <v>15980</v>
      </c>
      <c r="B427" s="28" t="s">
        <v>438</v>
      </c>
      <c r="C427" s="29">
        <v>300</v>
      </c>
      <c r="D427" s="30"/>
      <c r="E427" s="31"/>
    </row>
    <row r="428" spans="1:5" ht="168.5" thickBot="1" x14ac:dyDescent="0.3">
      <c r="A428" s="41">
        <v>16346</v>
      </c>
      <c r="B428" s="28" t="s">
        <v>439</v>
      </c>
      <c r="C428" s="29" t="s">
        <v>440</v>
      </c>
      <c r="D428" s="30"/>
      <c r="E428" s="31"/>
    </row>
    <row r="429" spans="1:5" ht="16" thickBot="1" x14ac:dyDescent="0.3">
      <c r="A429" s="41" t="s">
        <v>441</v>
      </c>
      <c r="B429" s="28" t="s">
        <v>442</v>
      </c>
      <c r="C429" s="29"/>
      <c r="D429" s="30"/>
      <c r="E429" s="31"/>
    </row>
    <row r="430" spans="1:5" ht="16" thickBot="1" x14ac:dyDescent="0.3">
      <c r="A430" s="41">
        <v>45668</v>
      </c>
      <c r="B430" s="28" t="s">
        <v>443</v>
      </c>
      <c r="C430" s="29" t="s">
        <v>444</v>
      </c>
      <c r="D430" s="30"/>
      <c r="E430" s="31"/>
    </row>
    <row r="431" spans="1:5" ht="16" thickBot="1" x14ac:dyDescent="0.3">
      <c r="A431" s="41">
        <v>45699</v>
      </c>
      <c r="B431" s="28" t="s">
        <v>445</v>
      </c>
      <c r="C431" s="29">
        <v>30</v>
      </c>
      <c r="D431" s="30"/>
      <c r="E431" s="31"/>
    </row>
    <row r="432" spans="1:5" ht="16" thickBot="1" x14ac:dyDescent="0.3">
      <c r="A432" s="41">
        <v>45727</v>
      </c>
      <c r="B432" s="28" t="s">
        <v>446</v>
      </c>
      <c r="C432" s="29">
        <v>80</v>
      </c>
      <c r="D432" s="30"/>
      <c r="E432" s="31"/>
    </row>
    <row r="433" spans="1:5" ht="14.5" customHeight="1" thickBot="1" x14ac:dyDescent="0.3">
      <c r="A433" s="41">
        <v>45758</v>
      </c>
      <c r="B433" s="28" t="s">
        <v>447</v>
      </c>
      <c r="C433" s="29">
        <v>30</v>
      </c>
      <c r="D433" s="30"/>
      <c r="E433" s="31"/>
    </row>
    <row r="434" spans="1:5" ht="16" thickBot="1" x14ac:dyDescent="0.3">
      <c r="A434" s="41">
        <v>45788</v>
      </c>
      <c r="B434" s="24" t="e">
        <f>- krčku lopatky</f>
        <v>#NAME?</v>
      </c>
      <c r="C434" s="25">
        <v>40</v>
      </c>
      <c r="D434" s="26"/>
      <c r="E434" s="27"/>
    </row>
    <row r="435" spans="1:5" ht="16" thickBot="1" x14ac:dyDescent="0.3">
      <c r="A435" s="23">
        <v>45819</v>
      </c>
      <c r="B435" s="28" t="s">
        <v>448</v>
      </c>
      <c r="C435" s="29">
        <v>90</v>
      </c>
      <c r="D435" s="30"/>
      <c r="E435" s="31"/>
    </row>
    <row r="436" spans="1:5" ht="16" thickBot="1" x14ac:dyDescent="0.3">
      <c r="A436" s="23">
        <v>45849</v>
      </c>
      <c r="B436" s="28" t="s">
        <v>449</v>
      </c>
      <c r="C436" s="29">
        <v>60</v>
      </c>
      <c r="D436" s="30"/>
      <c r="E436" s="31"/>
    </row>
    <row r="437" spans="1:5" ht="31.5" thickBot="1" x14ac:dyDescent="0.3">
      <c r="A437" s="23">
        <v>45880</v>
      </c>
      <c r="B437" s="28" t="s">
        <v>450</v>
      </c>
      <c r="C437" s="29">
        <v>30</v>
      </c>
      <c r="D437" s="30"/>
      <c r="E437" s="31"/>
    </row>
    <row r="438" spans="1:5" ht="16" thickBot="1" x14ac:dyDescent="0.3">
      <c r="A438" s="23">
        <v>45911</v>
      </c>
      <c r="B438" s="28" t="e">
        <f>- s posunem</f>
        <v>#NAME?</v>
      </c>
      <c r="C438" s="29">
        <v>60</v>
      </c>
      <c r="D438" s="30"/>
      <c r="E438" s="31"/>
    </row>
    <row r="439" spans="1:5" ht="16" thickBot="1" x14ac:dyDescent="0.3">
      <c r="A439" s="23">
        <v>45941</v>
      </c>
      <c r="B439" s="28" t="e">
        <f>- tříštivá zlomenina hlavice pažní kosti</f>
        <v>#NAME?</v>
      </c>
      <c r="C439" s="29">
        <v>100</v>
      </c>
      <c r="D439" s="30"/>
      <c r="E439" s="31"/>
    </row>
    <row r="440" spans="1:5" ht="16" thickBot="1" x14ac:dyDescent="0.3">
      <c r="A440" s="23">
        <v>45972</v>
      </c>
      <c r="B440" s="28" t="s">
        <v>451</v>
      </c>
      <c r="C440" s="29">
        <v>50</v>
      </c>
      <c r="D440" s="30"/>
      <c r="E440" s="31"/>
    </row>
    <row r="441" spans="1:5" ht="16" thickBot="1" x14ac:dyDescent="0.3">
      <c r="A441" s="23">
        <v>46002</v>
      </c>
      <c r="B441" s="28" t="e">
        <f>- s posunem</f>
        <v>#NAME?</v>
      </c>
      <c r="C441" s="29">
        <v>90</v>
      </c>
      <c r="D441" s="30"/>
      <c r="E441" s="31"/>
    </row>
    <row r="442" spans="1:5" ht="16" thickBot="1" x14ac:dyDescent="0.3">
      <c r="A442" s="23">
        <v>41579</v>
      </c>
      <c r="B442" s="28" t="e">
        <f>- luxační</f>
        <v>#NAME?</v>
      </c>
      <c r="C442" s="29">
        <v>120</v>
      </c>
      <c r="D442" s="30"/>
      <c r="E442" s="31"/>
    </row>
    <row r="443" spans="1:5" ht="168.5" thickBot="1" x14ac:dyDescent="0.3">
      <c r="A443" s="23">
        <v>41944</v>
      </c>
      <c r="B443" s="28" t="s">
        <v>452</v>
      </c>
      <c r="C443" s="29" t="s">
        <v>453</v>
      </c>
      <c r="D443" s="30"/>
      <c r="E443" s="31"/>
    </row>
    <row r="444" spans="1:5" ht="16" thickBot="1" x14ac:dyDescent="0.3">
      <c r="A444" s="23">
        <v>42309</v>
      </c>
      <c r="B444" s="28" t="s">
        <v>454</v>
      </c>
      <c r="C444" s="29">
        <v>60</v>
      </c>
      <c r="D444" s="30"/>
      <c r="E444" s="31"/>
    </row>
    <row r="445" spans="1:5" ht="16" thickBot="1" x14ac:dyDescent="0.3">
      <c r="A445" s="23">
        <v>42675</v>
      </c>
      <c r="B445" s="28" t="e">
        <f>- posunem</f>
        <v>#NAME?</v>
      </c>
      <c r="C445" s="29" t="s">
        <v>163</v>
      </c>
      <c r="D445" s="30"/>
      <c r="E445" s="31"/>
    </row>
    <row r="446" spans="1:5" ht="16" thickBot="1" x14ac:dyDescent="0.3">
      <c r="A446" s="23">
        <v>43040</v>
      </c>
      <c r="B446" s="28" t="e">
        <f>- tříštivá</f>
        <v>#NAME?</v>
      </c>
      <c r="C446" s="29">
        <v>120</v>
      </c>
      <c r="D446" s="30"/>
      <c r="E446" s="31"/>
    </row>
    <row r="447" spans="1:5" ht="16" thickBot="1" x14ac:dyDescent="0.3">
      <c r="A447" s="41">
        <v>43405</v>
      </c>
      <c r="B447" s="28" t="s">
        <v>455</v>
      </c>
      <c r="C447" s="29">
        <v>40</v>
      </c>
      <c r="D447" s="30"/>
      <c r="E447" s="31"/>
    </row>
    <row r="448" spans="1:5" ht="14.5" customHeight="1" thickBot="1" x14ac:dyDescent="0.3">
      <c r="A448" s="41">
        <v>43770</v>
      </c>
      <c r="B448" s="28" t="e">
        <f>- s posunem</f>
        <v>#NAME?</v>
      </c>
      <c r="C448" s="29">
        <v>80</v>
      </c>
      <c r="D448" s="30"/>
      <c r="E448" s="31"/>
    </row>
    <row r="449" spans="1:5" ht="16" thickBot="1" x14ac:dyDescent="0.3">
      <c r="A449" s="41">
        <v>44136</v>
      </c>
      <c r="B449" s="28" t="e">
        <f>- nitrokloubní bez posunu</f>
        <v>#NAME?</v>
      </c>
      <c r="C449" s="29">
        <v>100</v>
      </c>
      <c r="D449" s="30"/>
      <c r="E449" s="31"/>
    </row>
    <row r="450" spans="1:5" ht="16" thickBot="1" x14ac:dyDescent="0.3">
      <c r="A450" s="41">
        <v>44501</v>
      </c>
      <c r="B450" s="28" t="s">
        <v>456</v>
      </c>
      <c r="C450" s="29">
        <v>120</v>
      </c>
      <c r="D450" s="30"/>
      <c r="E450" s="31"/>
    </row>
    <row r="451" spans="1:5" ht="31.5" thickBot="1" x14ac:dyDescent="0.3">
      <c r="A451" s="41">
        <v>44866</v>
      </c>
      <c r="B451" s="28" t="s">
        <v>457</v>
      </c>
      <c r="C451" s="29">
        <v>50</v>
      </c>
      <c r="D451" s="30"/>
      <c r="E451" s="31"/>
    </row>
    <row r="452" spans="1:5" ht="16" thickBot="1" x14ac:dyDescent="0.3">
      <c r="A452" s="41">
        <v>45231</v>
      </c>
      <c r="B452" s="28" t="s">
        <v>458</v>
      </c>
      <c r="C452" s="29">
        <v>250</v>
      </c>
      <c r="D452" s="30"/>
      <c r="E452" s="31"/>
    </row>
    <row r="453" spans="1:5" ht="16" thickBot="1" x14ac:dyDescent="0.3">
      <c r="A453" s="41">
        <v>45597</v>
      </c>
      <c r="B453" s="28" t="s">
        <v>459</v>
      </c>
      <c r="C453" s="29">
        <v>50</v>
      </c>
      <c r="D453" s="30"/>
      <c r="E453" s="31"/>
    </row>
    <row r="454" spans="1:5" ht="16" thickBot="1" x14ac:dyDescent="0.3">
      <c r="A454" s="41">
        <v>45962</v>
      </c>
      <c r="B454" s="28" t="s">
        <v>460</v>
      </c>
      <c r="C454" s="29">
        <v>20</v>
      </c>
      <c r="D454" s="30"/>
      <c r="E454" s="31"/>
    </row>
    <row r="455" spans="1:5" ht="16" thickBot="1" x14ac:dyDescent="0.3">
      <c r="A455" s="41">
        <v>46327</v>
      </c>
      <c r="B455" s="28" t="s">
        <v>461</v>
      </c>
      <c r="C455" s="29">
        <v>30</v>
      </c>
      <c r="D455" s="30"/>
      <c r="E455" s="31"/>
    </row>
    <row r="456" spans="1:5" ht="16" thickBot="1" x14ac:dyDescent="0.3">
      <c r="A456" s="41">
        <v>46692</v>
      </c>
      <c r="B456" s="28" t="s">
        <v>462</v>
      </c>
      <c r="C456" s="29">
        <v>40</v>
      </c>
      <c r="D456" s="30"/>
      <c r="E456" s="31"/>
    </row>
    <row r="457" spans="1:5" ht="16" thickBot="1" x14ac:dyDescent="0.3">
      <c r="A457" s="41">
        <v>47058</v>
      </c>
      <c r="B457" s="28" t="s">
        <v>463</v>
      </c>
      <c r="C457" s="29">
        <v>60</v>
      </c>
      <c r="D457" s="30"/>
      <c r="E457" s="31"/>
    </row>
    <row r="458" spans="1:5" ht="16" thickBot="1" x14ac:dyDescent="0.3">
      <c r="A458" s="41">
        <v>47423</v>
      </c>
      <c r="B458" s="28" t="s">
        <v>464</v>
      </c>
      <c r="C458" s="29">
        <v>30</v>
      </c>
      <c r="D458" s="30"/>
      <c r="E458" s="31"/>
    </row>
    <row r="459" spans="1:5" ht="16" thickBot="1" x14ac:dyDescent="0.3">
      <c r="A459" s="41">
        <v>11263</v>
      </c>
      <c r="B459" s="28" t="s">
        <v>465</v>
      </c>
      <c r="C459" s="29">
        <v>20</v>
      </c>
      <c r="D459" s="30"/>
      <c r="E459" s="31"/>
    </row>
    <row r="460" spans="1:5" ht="16" thickBot="1" x14ac:dyDescent="0.3">
      <c r="A460" s="41">
        <v>11628</v>
      </c>
      <c r="B460" s="28" t="s">
        <v>466</v>
      </c>
      <c r="C460" s="29">
        <v>15</v>
      </c>
      <c r="D460" s="30"/>
      <c r="E460" s="31"/>
    </row>
    <row r="461" spans="1:5" ht="16" thickBot="1" x14ac:dyDescent="0.3">
      <c r="A461" s="41">
        <v>11994</v>
      </c>
      <c r="B461" s="28" t="s">
        <v>467</v>
      </c>
      <c r="C461" s="29">
        <v>10</v>
      </c>
      <c r="D461" s="30"/>
      <c r="E461" s="31"/>
    </row>
    <row r="462" spans="1:5" ht="16" thickBot="1" x14ac:dyDescent="0.3">
      <c r="A462" s="41">
        <v>12359</v>
      </c>
      <c r="B462" s="28" t="s">
        <v>468</v>
      </c>
      <c r="C462" s="29">
        <v>50</v>
      </c>
      <c r="D462" s="30"/>
      <c r="E462" s="31"/>
    </row>
    <row r="463" spans="1:5" ht="16" thickBot="1" x14ac:dyDescent="0.3">
      <c r="A463" s="41">
        <v>12724</v>
      </c>
      <c r="B463" s="28" t="s">
        <v>469</v>
      </c>
      <c r="C463" s="29">
        <v>100</v>
      </c>
      <c r="D463" s="30"/>
      <c r="E463" s="31"/>
    </row>
    <row r="464" spans="1:5" ht="16" thickBot="1" x14ac:dyDescent="0.3">
      <c r="A464" s="41">
        <v>13089</v>
      </c>
      <c r="B464" s="28" t="s">
        <v>470</v>
      </c>
      <c r="C464" s="29">
        <v>50</v>
      </c>
      <c r="D464" s="30"/>
      <c r="E464" s="31"/>
    </row>
    <row r="465" spans="1:5" ht="16" thickBot="1" x14ac:dyDescent="0.3">
      <c r="A465" s="41">
        <v>13455</v>
      </c>
      <c r="B465" s="28" t="s">
        <v>471</v>
      </c>
      <c r="C465" s="29">
        <v>100</v>
      </c>
      <c r="D465" s="30"/>
      <c r="E465" s="31"/>
    </row>
    <row r="466" spans="1:5" ht="16" thickBot="1" x14ac:dyDescent="0.3">
      <c r="A466" s="41">
        <v>13820</v>
      </c>
      <c r="B466" s="28" t="s">
        <v>472</v>
      </c>
      <c r="C466" s="29">
        <v>50</v>
      </c>
      <c r="D466" s="30"/>
      <c r="E466" s="31"/>
    </row>
    <row r="467" spans="1:5" ht="16" thickBot="1" x14ac:dyDescent="0.3">
      <c r="A467" s="41">
        <v>14185</v>
      </c>
      <c r="B467" s="28" t="s">
        <v>473</v>
      </c>
      <c r="C467" s="29">
        <v>100</v>
      </c>
      <c r="D467" s="30"/>
      <c r="E467" s="31"/>
    </row>
    <row r="468" spans="1:5" ht="16" thickBot="1" x14ac:dyDescent="0.3">
      <c r="A468" s="41">
        <v>14550</v>
      </c>
      <c r="B468" s="28" t="s">
        <v>474</v>
      </c>
      <c r="C468" s="29">
        <v>40</v>
      </c>
      <c r="D468" s="30"/>
      <c r="E468" s="31"/>
    </row>
    <row r="469" spans="1:5" ht="16" thickBot="1" x14ac:dyDescent="0.3">
      <c r="A469" s="41">
        <v>14916</v>
      </c>
      <c r="B469" s="28" t="s">
        <v>475</v>
      </c>
      <c r="C469" s="29">
        <v>80</v>
      </c>
      <c r="D469" s="30"/>
      <c r="E469" s="31"/>
    </row>
    <row r="470" spans="1:5" ht="16" thickBot="1" x14ac:dyDescent="0.3">
      <c r="A470" s="41">
        <v>15281</v>
      </c>
      <c r="B470" s="28" t="s">
        <v>476</v>
      </c>
      <c r="C470" s="29">
        <v>30</v>
      </c>
      <c r="D470" s="30"/>
      <c r="E470" s="31"/>
    </row>
    <row r="471" spans="1:5" ht="16" thickBot="1" x14ac:dyDescent="0.3">
      <c r="A471" s="41">
        <v>15646</v>
      </c>
      <c r="B471" s="28" t="s">
        <v>477</v>
      </c>
      <c r="C471" s="29">
        <v>60</v>
      </c>
      <c r="D471" s="30"/>
      <c r="E471" s="31"/>
    </row>
    <row r="472" spans="1:5" ht="16" thickBot="1" x14ac:dyDescent="0.3">
      <c r="A472" s="41">
        <v>16011</v>
      </c>
      <c r="B472" s="28" t="s">
        <v>478</v>
      </c>
      <c r="C472" s="29">
        <v>10</v>
      </c>
      <c r="D472" s="30"/>
      <c r="E472" s="31"/>
    </row>
    <row r="473" spans="1:5" ht="16" thickBot="1" x14ac:dyDescent="0.3">
      <c r="A473" s="41">
        <v>16377</v>
      </c>
      <c r="B473" s="28" t="s">
        <v>479</v>
      </c>
      <c r="C473" s="29">
        <v>20</v>
      </c>
      <c r="D473" s="30"/>
      <c r="E473" s="31"/>
    </row>
    <row r="474" spans="1:5" ht="16" thickBot="1" x14ac:dyDescent="0.3">
      <c r="A474" s="41">
        <v>16742</v>
      </c>
      <c r="B474" s="28" t="s">
        <v>480</v>
      </c>
      <c r="C474" s="29">
        <v>10</v>
      </c>
      <c r="D474" s="30"/>
      <c r="E474" s="31"/>
    </row>
    <row r="475" spans="1:5" ht="168.5" thickBot="1" x14ac:dyDescent="0.3">
      <c r="A475" s="41">
        <v>17107</v>
      </c>
      <c r="B475" s="28" t="s">
        <v>481</v>
      </c>
      <c r="C475" s="29" t="s">
        <v>482</v>
      </c>
      <c r="D475" s="30"/>
      <c r="E475" s="31"/>
    </row>
    <row r="476" spans="1:5" ht="28.5" thickBot="1" x14ac:dyDescent="0.3">
      <c r="A476" s="41">
        <v>17472</v>
      </c>
      <c r="B476" s="28" t="s">
        <v>483</v>
      </c>
      <c r="C476" s="29" t="s">
        <v>484</v>
      </c>
      <c r="D476" s="30"/>
      <c r="E476" s="31"/>
    </row>
    <row r="477" spans="1:5" ht="28.5" thickBot="1" x14ac:dyDescent="0.3">
      <c r="A477" s="41">
        <v>17838</v>
      </c>
      <c r="B477" s="28" t="s">
        <v>485</v>
      </c>
      <c r="C477" s="29" t="s">
        <v>486</v>
      </c>
      <c r="D477" s="30"/>
      <c r="E477" s="31"/>
    </row>
    <row r="478" spans="1:5" ht="168.5" thickBot="1" x14ac:dyDescent="0.3">
      <c r="A478" s="41">
        <v>18203</v>
      </c>
      <c r="B478" s="28" t="s">
        <v>487</v>
      </c>
      <c r="C478" s="29" t="s">
        <v>488</v>
      </c>
      <c r="D478" s="30"/>
      <c r="E478" s="31"/>
    </row>
    <row r="479" spans="1:5" ht="16" thickBot="1" x14ac:dyDescent="0.3">
      <c r="A479" s="41">
        <v>18568</v>
      </c>
      <c r="B479" s="28" t="s">
        <v>489</v>
      </c>
      <c r="C479" s="29">
        <v>50</v>
      </c>
      <c r="D479" s="30"/>
      <c r="E479" s="31"/>
    </row>
    <row r="480" spans="1:5" ht="14.5" customHeight="1" thickBot="1" x14ac:dyDescent="0.3">
      <c r="A480" s="41">
        <v>18933</v>
      </c>
      <c r="B480" s="28" t="e">
        <f>- úplné přerušení</f>
        <v>#NAME?</v>
      </c>
      <c r="C480" s="29">
        <v>80</v>
      </c>
      <c r="D480" s="30"/>
      <c r="E480" s="31"/>
    </row>
    <row r="481" spans="1:5" ht="14.5" customHeight="1" thickBot="1" x14ac:dyDescent="0.3">
      <c r="A481" s="41">
        <v>19299</v>
      </c>
      <c r="B481" s="28" t="s">
        <v>490</v>
      </c>
      <c r="C481" s="29">
        <v>40</v>
      </c>
      <c r="D481" s="30"/>
      <c r="E481" s="31"/>
    </row>
    <row r="482" spans="1:5" ht="14.5" customHeight="1" thickBot="1" x14ac:dyDescent="0.3">
      <c r="A482" s="41">
        <v>19664</v>
      </c>
      <c r="B482" s="28" t="e">
        <f>- úplné přerušení</f>
        <v>#NAME?</v>
      </c>
      <c r="C482" s="29">
        <v>50</v>
      </c>
      <c r="D482" s="30"/>
      <c r="E482" s="31"/>
    </row>
    <row r="483" spans="1:5" ht="14.5" customHeight="1" thickBot="1" x14ac:dyDescent="0.3">
      <c r="A483" s="41">
        <v>20029</v>
      </c>
      <c r="B483" s="28" t="s">
        <v>491</v>
      </c>
      <c r="C483" s="29">
        <v>150</v>
      </c>
      <c r="D483" s="30"/>
      <c r="E483" s="31"/>
    </row>
    <row r="484" spans="1:5" ht="16" thickBot="1" x14ac:dyDescent="0.3">
      <c r="A484" s="41">
        <v>20394</v>
      </c>
      <c r="B484" s="28" t="s">
        <v>492</v>
      </c>
      <c r="C484" s="29">
        <v>150</v>
      </c>
      <c r="D484" s="30"/>
      <c r="E484" s="31"/>
    </row>
    <row r="485" spans="1:5" ht="16" thickBot="1" x14ac:dyDescent="0.3">
      <c r="A485" s="41">
        <v>20760</v>
      </c>
      <c r="B485" s="28" t="s">
        <v>493</v>
      </c>
      <c r="C485" s="29">
        <v>325</v>
      </c>
      <c r="D485" s="30"/>
      <c r="E485" s="31"/>
    </row>
    <row r="486" spans="1:5" ht="16" thickBot="1" x14ac:dyDescent="0.3">
      <c r="A486" s="41">
        <v>21125</v>
      </c>
      <c r="B486" s="28" t="s">
        <v>494</v>
      </c>
      <c r="C486" s="29">
        <v>275</v>
      </c>
      <c r="D486" s="30"/>
      <c r="E486" s="31"/>
    </row>
    <row r="487" spans="1:5" ht="16" thickBot="1" x14ac:dyDescent="0.3">
      <c r="A487" s="41" t="s">
        <v>495</v>
      </c>
      <c r="B487" s="28" t="s">
        <v>496</v>
      </c>
      <c r="C487" s="29"/>
      <c r="D487" s="30"/>
      <c r="E487" s="31"/>
    </row>
    <row r="488" spans="1:5" ht="16" thickBot="1" x14ac:dyDescent="0.3">
      <c r="A488" s="41">
        <v>45669</v>
      </c>
      <c r="B488" s="28" t="s">
        <v>497</v>
      </c>
      <c r="C488" s="29">
        <v>50</v>
      </c>
      <c r="D488" s="30"/>
      <c r="E488" s="31"/>
    </row>
    <row r="489" spans="1:5" ht="16" thickBot="1" x14ac:dyDescent="0.3">
      <c r="A489" s="41">
        <v>45700</v>
      </c>
      <c r="B489" s="28" t="s">
        <v>498</v>
      </c>
      <c r="C489" s="29">
        <v>100</v>
      </c>
      <c r="D489" s="30"/>
      <c r="E489" s="31"/>
    </row>
    <row r="490" spans="1:5" ht="16" thickBot="1" x14ac:dyDescent="0.3">
      <c r="A490" s="41">
        <v>45728</v>
      </c>
      <c r="B490" s="28" t="s">
        <v>499</v>
      </c>
      <c r="C490" s="29">
        <v>30</v>
      </c>
      <c r="D490" s="30"/>
      <c r="E490" s="31"/>
    </row>
    <row r="491" spans="1:5" ht="16" thickBot="1" x14ac:dyDescent="0.3">
      <c r="A491" s="41">
        <v>45759</v>
      </c>
      <c r="B491" s="28" t="s">
        <v>500</v>
      </c>
      <c r="C491" s="29">
        <v>40</v>
      </c>
      <c r="D491" s="30"/>
      <c r="E491" s="31"/>
    </row>
    <row r="492" spans="1:5" ht="16" thickBot="1" x14ac:dyDescent="0.3">
      <c r="A492" s="41">
        <v>45789</v>
      </c>
      <c r="B492" s="24" t="e">
        <f>- částečné odlomení hlavičky kosti vřetenní s posunem</f>
        <v>#NAME?</v>
      </c>
      <c r="C492" s="25">
        <v>60</v>
      </c>
      <c r="D492" s="26"/>
      <c r="E492" s="27"/>
    </row>
    <row r="493" spans="1:5" ht="16" thickBot="1" x14ac:dyDescent="0.3">
      <c r="A493" s="23">
        <v>45820</v>
      </c>
      <c r="B493" s="28" t="s">
        <v>501</v>
      </c>
      <c r="C493" s="29">
        <v>90</v>
      </c>
      <c r="D493" s="30"/>
      <c r="E493" s="31"/>
    </row>
    <row r="494" spans="1:5" ht="16" thickBot="1" x14ac:dyDescent="0.3">
      <c r="A494" s="23">
        <v>45850</v>
      </c>
      <c r="B494" s="28" t="s">
        <v>502</v>
      </c>
      <c r="C494" s="29">
        <v>60</v>
      </c>
      <c r="D494" s="30"/>
      <c r="E494" s="31"/>
    </row>
    <row r="495" spans="1:5" ht="16" thickBot="1" x14ac:dyDescent="0.3">
      <c r="A495" s="23">
        <v>45881</v>
      </c>
      <c r="B495" s="28" t="s">
        <v>498</v>
      </c>
      <c r="C495" s="29">
        <v>80</v>
      </c>
      <c r="D495" s="30"/>
      <c r="E495" s="31"/>
    </row>
    <row r="496" spans="1:5" ht="16" thickBot="1" x14ac:dyDescent="0.3">
      <c r="A496" s="23">
        <v>45912</v>
      </c>
      <c r="B496" s="28" t="s">
        <v>503</v>
      </c>
      <c r="C496" s="29">
        <v>60</v>
      </c>
      <c r="D496" s="30"/>
      <c r="E496" s="31"/>
    </row>
    <row r="497" spans="1:5" ht="16" thickBot="1" x14ac:dyDescent="0.3">
      <c r="A497" s="23">
        <v>45942</v>
      </c>
      <c r="B497" s="28" t="s">
        <v>498</v>
      </c>
      <c r="C497" s="29">
        <v>80</v>
      </c>
      <c r="D497" s="30"/>
      <c r="E497" s="31"/>
    </row>
    <row r="498" spans="1:5" ht="16" thickBot="1" x14ac:dyDescent="0.3">
      <c r="A498" s="23">
        <v>45973</v>
      </c>
      <c r="B498" s="28" t="s">
        <v>504</v>
      </c>
      <c r="C498" s="29">
        <v>80</v>
      </c>
      <c r="D498" s="30"/>
      <c r="E498" s="31"/>
    </row>
    <row r="499" spans="1:5" ht="16" thickBot="1" x14ac:dyDescent="0.3">
      <c r="A499" s="23">
        <v>46003</v>
      </c>
      <c r="B499" s="28" t="s">
        <v>498</v>
      </c>
      <c r="C499" s="29">
        <v>100</v>
      </c>
      <c r="D499" s="30"/>
      <c r="E499" s="31"/>
    </row>
    <row r="500" spans="1:5" ht="16" thickBot="1" x14ac:dyDescent="0.3">
      <c r="A500" s="23">
        <v>41609</v>
      </c>
      <c r="B500" s="28" t="e">
        <f>- Monteggiova luxační zlomenina předloktí</f>
        <v>#NAME?</v>
      </c>
      <c r="C500" s="29">
        <v>150</v>
      </c>
      <c r="D500" s="30"/>
      <c r="E500" s="31"/>
    </row>
    <row r="501" spans="1:5" ht="16" thickBot="1" x14ac:dyDescent="0.3">
      <c r="A501" s="23">
        <v>41974</v>
      </c>
      <c r="B501" s="28" t="s">
        <v>505</v>
      </c>
      <c r="C501" s="29">
        <v>50</v>
      </c>
      <c r="D501" s="30"/>
      <c r="E501" s="31"/>
    </row>
    <row r="502" spans="1:5" ht="16" thickBot="1" x14ac:dyDescent="0.3">
      <c r="A502" s="23">
        <v>42339</v>
      </c>
      <c r="B502" s="28" t="e">
        <f>- bez posunu nitrokloubní</f>
        <v>#NAME?</v>
      </c>
      <c r="C502" s="29">
        <v>60</v>
      </c>
      <c r="D502" s="30"/>
      <c r="E502" s="31"/>
    </row>
    <row r="503" spans="1:5" ht="16" thickBot="1" x14ac:dyDescent="0.3">
      <c r="A503" s="23">
        <v>42705</v>
      </c>
      <c r="B503" s="28" t="s">
        <v>498</v>
      </c>
      <c r="C503" s="29">
        <v>100</v>
      </c>
      <c r="D503" s="30"/>
      <c r="E503" s="31"/>
    </row>
    <row r="504" spans="1:5" ht="16" thickBot="1" x14ac:dyDescent="0.3">
      <c r="A504" s="23">
        <v>43070</v>
      </c>
      <c r="B504" s="28" t="s">
        <v>506</v>
      </c>
      <c r="C504" s="29">
        <v>120</v>
      </c>
      <c r="D504" s="30"/>
      <c r="E504" s="31"/>
    </row>
    <row r="505" spans="1:5" ht="16" thickBot="1" x14ac:dyDescent="0.3">
      <c r="A505" s="41">
        <v>43435</v>
      </c>
      <c r="B505" s="28" t="s">
        <v>507</v>
      </c>
      <c r="C505" s="29">
        <v>50</v>
      </c>
      <c r="D505" s="30"/>
      <c r="E505" s="31"/>
    </row>
    <row r="506" spans="1:5" ht="16" thickBot="1" x14ac:dyDescent="0.3">
      <c r="A506" s="41">
        <v>43800</v>
      </c>
      <c r="B506" s="28" t="e">
        <f>- úplná bez posunu úlomků - nitrokloubní</f>
        <v>#NAME?</v>
      </c>
      <c r="C506" s="29">
        <v>70</v>
      </c>
      <c r="D506" s="30"/>
      <c r="E506" s="31"/>
    </row>
    <row r="507" spans="1:5" ht="16" thickBot="1" x14ac:dyDescent="0.3">
      <c r="A507" s="41">
        <v>44166</v>
      </c>
      <c r="B507" s="28" t="s">
        <v>498</v>
      </c>
      <c r="C507" s="29">
        <v>90</v>
      </c>
      <c r="D507" s="30"/>
      <c r="E507" s="31"/>
    </row>
    <row r="508" spans="1:5" ht="16" thickBot="1" x14ac:dyDescent="0.3">
      <c r="A508" s="41">
        <v>44531</v>
      </c>
      <c r="B508" s="28" t="s">
        <v>506</v>
      </c>
      <c r="C508" s="29">
        <v>120</v>
      </c>
      <c r="D508" s="30"/>
      <c r="E508" s="31"/>
    </row>
    <row r="509" spans="1:5" ht="16" thickBot="1" x14ac:dyDescent="0.3">
      <c r="A509" s="41">
        <v>44896</v>
      </c>
      <c r="B509" s="28" t="s">
        <v>508</v>
      </c>
      <c r="C509" s="29">
        <v>20</v>
      </c>
      <c r="D509" s="30"/>
      <c r="E509" s="31"/>
    </row>
    <row r="510" spans="1:5" ht="168.5" thickBot="1" x14ac:dyDescent="0.3">
      <c r="A510" s="41">
        <v>45261</v>
      </c>
      <c r="B510" s="28" t="s">
        <v>509</v>
      </c>
      <c r="C510" s="29" t="s">
        <v>510</v>
      </c>
      <c r="D510" s="30"/>
      <c r="E510" s="31"/>
    </row>
    <row r="511" spans="1:5" ht="16" thickBot="1" x14ac:dyDescent="0.3">
      <c r="A511" s="41">
        <v>45627</v>
      </c>
      <c r="B511" s="28" t="s">
        <v>511</v>
      </c>
      <c r="C511" s="29">
        <v>10</v>
      </c>
      <c r="D511" s="30"/>
      <c r="E511" s="31"/>
    </row>
    <row r="512" spans="1:5" ht="16" thickBot="1" x14ac:dyDescent="0.3">
      <c r="A512" s="41">
        <v>45992</v>
      </c>
      <c r="B512" s="28" t="e">
        <f>- natržení</f>
        <v>#NAME?</v>
      </c>
      <c r="C512" s="29">
        <v>15</v>
      </c>
      <c r="D512" s="30"/>
      <c r="E512" s="31"/>
    </row>
    <row r="513" spans="1:5" ht="16" thickBot="1" x14ac:dyDescent="0.3">
      <c r="A513" s="41">
        <v>46357</v>
      </c>
      <c r="B513" s="28" t="e">
        <f>- přetržení</f>
        <v>#NAME?</v>
      </c>
      <c r="C513" s="29">
        <v>20</v>
      </c>
      <c r="D513" s="30"/>
      <c r="E513" s="31"/>
    </row>
    <row r="514" spans="1:5" ht="16" thickBot="1" x14ac:dyDescent="0.3">
      <c r="A514" s="41">
        <v>46722</v>
      </c>
      <c r="B514" s="28" t="s">
        <v>512</v>
      </c>
      <c r="C514" s="29">
        <v>60</v>
      </c>
      <c r="D514" s="30"/>
      <c r="E514" s="31"/>
    </row>
    <row r="515" spans="1:5" ht="14.5" customHeight="1" thickBot="1" x14ac:dyDescent="0.3">
      <c r="A515" s="41">
        <v>47088</v>
      </c>
      <c r="B515" s="28" t="s">
        <v>513</v>
      </c>
      <c r="C515" s="29">
        <v>40</v>
      </c>
      <c r="D515" s="30"/>
      <c r="E515" s="31"/>
    </row>
    <row r="516" spans="1:5" ht="16" thickBot="1" x14ac:dyDescent="0.3">
      <c r="A516" s="41">
        <v>47453</v>
      </c>
      <c r="B516" s="28" t="s">
        <v>514</v>
      </c>
      <c r="C516" s="29">
        <v>40</v>
      </c>
      <c r="D516" s="30"/>
      <c r="E516" s="31"/>
    </row>
    <row r="517" spans="1:5" ht="16" thickBot="1" x14ac:dyDescent="0.3">
      <c r="A517" s="41">
        <v>11293</v>
      </c>
      <c r="B517" s="28" t="s">
        <v>515</v>
      </c>
      <c r="C517" s="29">
        <v>15</v>
      </c>
      <c r="D517" s="30"/>
      <c r="E517" s="31"/>
    </row>
    <row r="518" spans="1:5" ht="16" thickBot="1" x14ac:dyDescent="0.3">
      <c r="A518" s="41">
        <v>11658</v>
      </c>
      <c r="B518" s="28" t="s">
        <v>516</v>
      </c>
      <c r="C518" s="29">
        <v>10</v>
      </c>
      <c r="D518" s="30"/>
      <c r="E518" s="31"/>
    </row>
    <row r="519" spans="1:5" ht="16" thickBot="1" x14ac:dyDescent="0.3">
      <c r="A519" s="41">
        <v>12024</v>
      </c>
      <c r="B519" s="28" t="s">
        <v>517</v>
      </c>
      <c r="C519" s="29">
        <v>40</v>
      </c>
      <c r="D519" s="30"/>
      <c r="E519" s="31"/>
    </row>
    <row r="520" spans="1:5" ht="16" thickBot="1" x14ac:dyDescent="0.3">
      <c r="A520" s="41">
        <v>12389</v>
      </c>
      <c r="B520" s="28" t="s">
        <v>518</v>
      </c>
      <c r="C520" s="29">
        <v>80</v>
      </c>
      <c r="D520" s="30"/>
      <c r="E520" s="31"/>
    </row>
    <row r="521" spans="1:5" ht="16" thickBot="1" x14ac:dyDescent="0.3">
      <c r="A521" s="41">
        <v>12754</v>
      </c>
      <c r="B521" s="28" t="s">
        <v>519</v>
      </c>
      <c r="C521" s="29">
        <v>40</v>
      </c>
      <c r="D521" s="30"/>
      <c r="E521" s="31"/>
    </row>
    <row r="522" spans="1:5" ht="16" thickBot="1" x14ac:dyDescent="0.3">
      <c r="A522" s="41">
        <v>13119</v>
      </c>
      <c r="B522" s="28" t="s">
        <v>520</v>
      </c>
      <c r="C522" s="29">
        <v>80</v>
      </c>
      <c r="D522" s="30"/>
      <c r="E522" s="31"/>
    </row>
    <row r="523" spans="1:5" ht="16" thickBot="1" x14ac:dyDescent="0.3">
      <c r="A523" s="41">
        <v>13485</v>
      </c>
      <c r="B523" s="28" t="s">
        <v>521</v>
      </c>
      <c r="C523" s="29">
        <v>30</v>
      </c>
      <c r="D523" s="30"/>
      <c r="E523" s="31"/>
    </row>
    <row r="524" spans="1:5" ht="16" thickBot="1" x14ac:dyDescent="0.3">
      <c r="A524" s="41">
        <v>13850</v>
      </c>
      <c r="B524" s="28" t="s">
        <v>522</v>
      </c>
      <c r="C524" s="29">
        <v>90</v>
      </c>
      <c r="D524" s="30"/>
      <c r="E524" s="31"/>
    </row>
    <row r="525" spans="1:5" ht="16" thickBot="1" x14ac:dyDescent="0.3">
      <c r="A525" s="41">
        <v>14215</v>
      </c>
      <c r="B525" s="28" t="s">
        <v>523</v>
      </c>
      <c r="C525" s="29">
        <v>10</v>
      </c>
      <c r="D525" s="30"/>
      <c r="E525" s="31"/>
    </row>
    <row r="526" spans="1:5" ht="16" thickBot="1" x14ac:dyDescent="0.3">
      <c r="A526" s="41">
        <v>14580</v>
      </c>
      <c r="B526" s="28" t="s">
        <v>524</v>
      </c>
      <c r="C526" s="29">
        <v>20</v>
      </c>
      <c r="D526" s="30"/>
      <c r="E526" s="31"/>
    </row>
    <row r="527" spans="1:5" ht="16" thickBot="1" x14ac:dyDescent="0.3">
      <c r="A527" s="41">
        <v>14946</v>
      </c>
      <c r="B527" s="28" t="s">
        <v>525</v>
      </c>
      <c r="C527" s="29">
        <v>10</v>
      </c>
      <c r="D527" s="30"/>
      <c r="E527" s="31"/>
    </row>
    <row r="528" spans="1:5" ht="168.5" thickBot="1" x14ac:dyDescent="0.3">
      <c r="A528" s="41">
        <v>15311</v>
      </c>
      <c r="B528" s="28" t="s">
        <v>526</v>
      </c>
      <c r="C528" s="29" t="s">
        <v>527</v>
      </c>
      <c r="D528" s="30"/>
      <c r="E528" s="31"/>
    </row>
    <row r="529" spans="1:5" ht="31.5" thickBot="1" x14ac:dyDescent="0.3">
      <c r="A529" s="41">
        <v>15676</v>
      </c>
      <c r="B529" s="28" t="s">
        <v>528</v>
      </c>
      <c r="C529" s="29" t="s">
        <v>529</v>
      </c>
      <c r="D529" s="30"/>
      <c r="E529" s="31"/>
    </row>
    <row r="530" spans="1:5" ht="28.5" thickBot="1" x14ac:dyDescent="0.3">
      <c r="A530" s="41">
        <v>16041</v>
      </c>
      <c r="B530" s="28" t="s">
        <v>530</v>
      </c>
      <c r="C530" s="29" t="s">
        <v>486</v>
      </c>
      <c r="D530" s="30"/>
      <c r="E530" s="31"/>
    </row>
    <row r="531" spans="1:5" ht="168.5" thickBot="1" x14ac:dyDescent="0.3">
      <c r="A531" s="41">
        <v>16407</v>
      </c>
      <c r="B531" s="28" t="s">
        <v>531</v>
      </c>
      <c r="C531" s="29" t="s">
        <v>532</v>
      </c>
      <c r="D531" s="30"/>
      <c r="E531" s="31"/>
    </row>
    <row r="532" spans="1:5" ht="16" thickBot="1" x14ac:dyDescent="0.3">
      <c r="A532" s="41">
        <v>16772</v>
      </c>
      <c r="B532" s="28" t="s">
        <v>533</v>
      </c>
      <c r="C532" s="29">
        <v>150</v>
      </c>
      <c r="D532" s="30"/>
      <c r="E532" s="31"/>
    </row>
    <row r="533" spans="1:5" ht="14.5" customHeight="1" thickBot="1" x14ac:dyDescent="0.3">
      <c r="A533" s="41">
        <v>17137</v>
      </c>
      <c r="B533" s="28" t="s">
        <v>534</v>
      </c>
      <c r="C533" s="29">
        <v>100</v>
      </c>
      <c r="D533" s="30"/>
      <c r="E533" s="31"/>
    </row>
    <row r="534" spans="1:5" ht="16" thickBot="1" x14ac:dyDescent="0.3">
      <c r="A534" s="41">
        <v>17502</v>
      </c>
      <c r="B534" s="28" t="s">
        <v>535</v>
      </c>
      <c r="C534" s="29">
        <v>250</v>
      </c>
      <c r="D534" s="30"/>
      <c r="E534" s="31"/>
    </row>
    <row r="535" spans="1:5" ht="14.5" customHeight="1" thickBot="1" x14ac:dyDescent="0.3">
      <c r="A535" s="41" t="s">
        <v>536</v>
      </c>
      <c r="B535" s="28" t="s">
        <v>537</v>
      </c>
      <c r="C535" s="29"/>
      <c r="D535" s="30"/>
      <c r="E535" s="31"/>
    </row>
    <row r="536" spans="1:5" ht="14.5" customHeight="1" thickBot="1" x14ac:dyDescent="0.3">
      <c r="A536" s="41">
        <v>45670</v>
      </c>
      <c r="B536" s="28" t="s">
        <v>538</v>
      </c>
      <c r="C536" s="29">
        <v>5</v>
      </c>
      <c r="D536" s="30"/>
      <c r="E536" s="31"/>
    </row>
    <row r="537" spans="1:5" ht="16" thickBot="1" x14ac:dyDescent="0.3">
      <c r="A537" s="41">
        <v>45701</v>
      </c>
      <c r="B537" s="28" t="s">
        <v>539</v>
      </c>
      <c r="C537" s="29">
        <v>10</v>
      </c>
      <c r="D537" s="30"/>
      <c r="E537" s="31"/>
    </row>
    <row r="538" spans="1:5" ht="16" thickBot="1" x14ac:dyDescent="0.3">
      <c r="A538" s="41">
        <v>45729</v>
      </c>
      <c r="B538" s="28" t="s">
        <v>540</v>
      </c>
      <c r="C538" s="29">
        <v>45</v>
      </c>
      <c r="D538" s="30"/>
      <c r="E538" s="31"/>
    </row>
    <row r="539" spans="1:5" ht="16" thickBot="1" x14ac:dyDescent="0.3">
      <c r="A539" s="41">
        <v>45760</v>
      </c>
      <c r="B539" s="28" t="e">
        <f>- úplná s posunem</f>
        <v>#NAME?</v>
      </c>
      <c r="C539" s="29">
        <v>60</v>
      </c>
      <c r="D539" s="30"/>
      <c r="E539" s="31"/>
    </row>
    <row r="540" spans="1:5" ht="16" thickBot="1" x14ac:dyDescent="0.3">
      <c r="A540" s="41">
        <v>45790</v>
      </c>
      <c r="B540" s="24" t="e">
        <f>- tříštivá</f>
        <v>#NAME?</v>
      </c>
      <c r="C540" s="25">
        <v>90</v>
      </c>
      <c r="D540" s="26"/>
      <c r="E540" s="27"/>
    </row>
    <row r="541" spans="1:5" ht="16" thickBot="1" x14ac:dyDescent="0.3">
      <c r="A541" s="23">
        <v>45821</v>
      </c>
      <c r="B541" s="28" t="s">
        <v>541</v>
      </c>
      <c r="C541" s="29">
        <v>80</v>
      </c>
      <c r="D541" s="30"/>
      <c r="E541" s="31"/>
    </row>
    <row r="542" spans="1:5" ht="16" thickBot="1" x14ac:dyDescent="0.3">
      <c r="A542" s="23">
        <v>45851</v>
      </c>
      <c r="B542" s="28" t="s">
        <v>542</v>
      </c>
      <c r="C542" s="29">
        <v>25</v>
      </c>
      <c r="D542" s="30"/>
      <c r="E542" s="31"/>
    </row>
    <row r="543" spans="1:5" ht="16" thickBot="1" x14ac:dyDescent="0.3">
      <c r="A543" s="23">
        <v>45882</v>
      </c>
      <c r="B543" s="28" t="e">
        <f>- úplná bez posunu úlomků</f>
        <v>#NAME?</v>
      </c>
      <c r="C543" s="29">
        <v>30</v>
      </c>
      <c r="D543" s="30"/>
      <c r="E543" s="31"/>
    </row>
    <row r="544" spans="1:5" ht="16" thickBot="1" x14ac:dyDescent="0.3">
      <c r="A544" s="23">
        <v>45913</v>
      </c>
      <c r="B544" s="28" t="s">
        <v>543</v>
      </c>
      <c r="C544" s="29">
        <v>70</v>
      </c>
      <c r="D544" s="30"/>
      <c r="E544" s="31"/>
    </row>
    <row r="545" spans="1:5" ht="31.5" thickBot="1" x14ac:dyDescent="0.3">
      <c r="A545" s="23">
        <v>45943</v>
      </c>
      <c r="B545" s="28" t="s">
        <v>544</v>
      </c>
      <c r="C545" s="29">
        <v>25</v>
      </c>
      <c r="D545" s="30"/>
      <c r="E545" s="31"/>
    </row>
    <row r="546" spans="1:5" ht="16" thickBot="1" x14ac:dyDescent="0.3">
      <c r="A546" s="23">
        <v>45974</v>
      </c>
      <c r="B546" s="28" t="e">
        <f>- s posunem</f>
        <v>#NAME?</v>
      </c>
      <c r="C546" s="29">
        <v>30</v>
      </c>
      <c r="D546" s="30"/>
      <c r="E546" s="31"/>
    </row>
    <row r="547" spans="1:5" ht="16" thickBot="1" x14ac:dyDescent="0.3">
      <c r="A547" s="23">
        <v>46004</v>
      </c>
      <c r="B547" s="28" t="e">
        <f>- základního a středního článku jiného prstu bez posunu</f>
        <v>#NAME?</v>
      </c>
      <c r="C547" s="29">
        <v>20</v>
      </c>
      <c r="D547" s="30"/>
      <c r="E547" s="31"/>
    </row>
    <row r="548" spans="1:5" ht="16" thickBot="1" x14ac:dyDescent="0.3">
      <c r="A548" s="23" t="s">
        <v>545</v>
      </c>
      <c r="B548" s="28" t="e">
        <f>- s posunem</f>
        <v>#NAME?</v>
      </c>
      <c r="C548" s="29">
        <v>25</v>
      </c>
      <c r="D548" s="30"/>
      <c r="E548" s="31"/>
    </row>
    <row r="549" spans="1:5" ht="16" thickBot="1" x14ac:dyDescent="0.3">
      <c r="A549" s="23" t="s">
        <v>546</v>
      </c>
      <c r="B549" s="28" t="s">
        <v>547</v>
      </c>
      <c r="C549" s="29"/>
      <c r="D549" s="30"/>
      <c r="E549" s="31"/>
    </row>
    <row r="550" spans="1:5" ht="16" thickBot="1" x14ac:dyDescent="0.3">
      <c r="A550" s="23" t="s">
        <v>548</v>
      </c>
      <c r="B550" s="28">
        <v>20</v>
      </c>
      <c r="C550" s="29"/>
      <c r="D550" s="30"/>
      <c r="E550" s="31"/>
    </row>
    <row r="551" spans="1:5" ht="16" thickBot="1" x14ac:dyDescent="0.3">
      <c r="A551" s="23" t="s">
        <v>549</v>
      </c>
      <c r="B551" s="28" t="e">
        <f>- s posunem</f>
        <v>#NAME?</v>
      </c>
      <c r="C551" s="29">
        <v>25</v>
      </c>
      <c r="D551" s="30"/>
      <c r="E551" s="31"/>
    </row>
    <row r="552" spans="1:5" ht="16" thickBot="1" x14ac:dyDescent="0.3">
      <c r="A552" s="23" t="s">
        <v>550</v>
      </c>
      <c r="B552" s="28" t="e">
        <f>-jiného prstu bez posunu</f>
        <v>#NAME?</v>
      </c>
      <c r="C552" s="29">
        <v>15</v>
      </c>
      <c r="D552" s="30"/>
      <c r="E552" s="31"/>
    </row>
    <row r="553" spans="1:5" ht="16" thickBot="1" x14ac:dyDescent="0.3">
      <c r="A553" s="41" t="s">
        <v>551</v>
      </c>
      <c r="B553" s="28" t="e">
        <f>- s posunem</f>
        <v>#NAME?</v>
      </c>
      <c r="C553" s="29">
        <v>20</v>
      </c>
      <c r="D553" s="30"/>
      <c r="E553" s="31"/>
    </row>
    <row r="554" spans="1:5" ht="31" x14ac:dyDescent="0.25">
      <c r="A554" s="42" t="s">
        <v>552</v>
      </c>
      <c r="B554" s="43" t="s">
        <v>553</v>
      </c>
      <c r="C554" s="34">
        <v>30</v>
      </c>
      <c r="D554" s="35"/>
      <c r="E554" s="36"/>
    </row>
    <row r="555" spans="1:5" ht="16" thickBot="1" x14ac:dyDescent="0.3">
      <c r="A555" s="49" t="s">
        <v>554</v>
      </c>
      <c r="B555" s="28" t="e">
        <f>- s posunem</f>
        <v>#NAME?</v>
      </c>
      <c r="C555" s="38">
        <v>35</v>
      </c>
      <c r="D555" s="39"/>
      <c r="E555" s="40"/>
    </row>
    <row r="556" spans="1:5" ht="16" thickBot="1" x14ac:dyDescent="0.3">
      <c r="A556" s="23" t="s">
        <v>555</v>
      </c>
      <c r="B556" s="28" t="e">
        <f>- jiného prstu bez posunu</f>
        <v>#NAME?</v>
      </c>
      <c r="C556" s="29">
        <v>25</v>
      </c>
      <c r="D556" s="30"/>
      <c r="E556" s="31"/>
    </row>
    <row r="557" spans="1:5" ht="16" thickBot="1" x14ac:dyDescent="0.3">
      <c r="A557" s="23" t="s">
        <v>556</v>
      </c>
      <c r="B557" s="28" t="e">
        <f>- s posunem</f>
        <v>#NAME?</v>
      </c>
      <c r="C557" s="29">
        <v>30</v>
      </c>
      <c r="D557" s="30"/>
      <c r="E557" s="31"/>
    </row>
    <row r="558" spans="1:5" ht="16" thickBot="1" x14ac:dyDescent="0.3">
      <c r="A558" s="23" t="s">
        <v>557</v>
      </c>
      <c r="B558" s="28" t="s">
        <v>558</v>
      </c>
      <c r="C558" s="29">
        <v>45</v>
      </c>
      <c r="D558" s="30"/>
      <c r="E558" s="31"/>
    </row>
    <row r="559" spans="1:5" ht="16" thickBot="1" x14ac:dyDescent="0.3">
      <c r="A559" s="23" t="s">
        <v>559</v>
      </c>
      <c r="B559" s="28" t="e">
        <f>- s posunem</f>
        <v>#NAME?</v>
      </c>
      <c r="C559" s="29">
        <v>50</v>
      </c>
      <c r="D559" s="30"/>
      <c r="E559" s="31"/>
    </row>
    <row r="560" spans="1:5" ht="16" thickBot="1" x14ac:dyDescent="0.3">
      <c r="A560" s="23" t="s">
        <v>560</v>
      </c>
      <c r="B560" s="28" t="s">
        <v>561</v>
      </c>
      <c r="C560" s="29">
        <v>50</v>
      </c>
      <c r="D560" s="30"/>
      <c r="E560" s="31"/>
    </row>
    <row r="561" spans="1:5" ht="16" thickBot="1" x14ac:dyDescent="0.3">
      <c r="A561" s="23" t="s">
        <v>562</v>
      </c>
      <c r="B561" s="28" t="s">
        <v>563</v>
      </c>
      <c r="C561" s="29">
        <v>20</v>
      </c>
      <c r="D561" s="30"/>
      <c r="E561" s="31"/>
    </row>
    <row r="562" spans="1:5" ht="16" thickBot="1" x14ac:dyDescent="0.3">
      <c r="A562" s="23" t="s">
        <v>564</v>
      </c>
      <c r="B562" s="28" t="s">
        <v>565</v>
      </c>
      <c r="C562" s="29">
        <v>30</v>
      </c>
      <c r="D562" s="30"/>
      <c r="E562" s="31"/>
    </row>
    <row r="563" spans="1:5" ht="16" thickBot="1" x14ac:dyDescent="0.3">
      <c r="A563" s="23" t="s">
        <v>566</v>
      </c>
      <c r="B563" s="28" t="s">
        <v>567</v>
      </c>
      <c r="C563" s="29">
        <v>20</v>
      </c>
      <c r="D563" s="30"/>
      <c r="E563" s="31"/>
    </row>
    <row r="564" spans="1:5" ht="16" thickBot="1" x14ac:dyDescent="0.3">
      <c r="A564" s="23" t="s">
        <v>568</v>
      </c>
      <c r="B564" s="28" t="s">
        <v>569</v>
      </c>
      <c r="C564" s="29">
        <v>15</v>
      </c>
      <c r="D564" s="30"/>
      <c r="E564" s="31"/>
    </row>
    <row r="565" spans="1:5" ht="16" thickBot="1" x14ac:dyDescent="0.3">
      <c r="A565" s="23" t="s">
        <v>570</v>
      </c>
      <c r="B565" s="28" t="s">
        <v>571</v>
      </c>
      <c r="C565" s="29">
        <v>5</v>
      </c>
      <c r="D565" s="30"/>
      <c r="E565" s="31"/>
    </row>
    <row r="566" spans="1:5" ht="16" thickBot="1" x14ac:dyDescent="0.3">
      <c r="A566" s="23" t="s">
        <v>572</v>
      </c>
      <c r="B566" s="28" t="s">
        <v>573</v>
      </c>
      <c r="C566" s="29">
        <v>30</v>
      </c>
      <c r="D566" s="30"/>
      <c r="E566" s="31"/>
    </row>
    <row r="567" spans="1:5" ht="16" thickBot="1" x14ac:dyDescent="0.3">
      <c r="A567" s="23" t="s">
        <v>574</v>
      </c>
      <c r="B567" s="28" t="s">
        <v>575</v>
      </c>
      <c r="C567" s="29">
        <v>60</v>
      </c>
      <c r="D567" s="30"/>
      <c r="E567" s="31"/>
    </row>
    <row r="568" spans="1:5" ht="16" thickBot="1" x14ac:dyDescent="0.3">
      <c r="A568" s="41" t="s">
        <v>576</v>
      </c>
      <c r="B568" s="28" t="s">
        <v>577</v>
      </c>
      <c r="C568" s="29">
        <v>30</v>
      </c>
      <c r="D568" s="30"/>
      <c r="E568" s="31"/>
    </row>
    <row r="569" spans="1:5" ht="16" thickBot="1" x14ac:dyDescent="0.3">
      <c r="A569" s="41" t="s">
        <v>578</v>
      </c>
      <c r="B569" s="28" t="s">
        <v>579</v>
      </c>
      <c r="C569" s="29">
        <v>60</v>
      </c>
      <c r="D569" s="30"/>
      <c r="E569" s="31"/>
    </row>
    <row r="570" spans="1:5" ht="16" thickBot="1" x14ac:dyDescent="0.3">
      <c r="A570" s="41" t="s">
        <v>580</v>
      </c>
      <c r="B570" s="28" t="s">
        <v>581</v>
      </c>
      <c r="C570" s="29">
        <v>10</v>
      </c>
      <c r="D570" s="30"/>
      <c r="E570" s="31"/>
    </row>
    <row r="571" spans="1:5" ht="16" thickBot="1" x14ac:dyDescent="0.3">
      <c r="A571" s="41" t="s">
        <v>582</v>
      </c>
      <c r="B571" s="28" t="s">
        <v>583</v>
      </c>
      <c r="C571" s="29">
        <v>20</v>
      </c>
      <c r="D571" s="30"/>
      <c r="E571" s="31"/>
    </row>
    <row r="572" spans="1:5" ht="16" thickBot="1" x14ac:dyDescent="0.3">
      <c r="A572" s="41" t="s">
        <v>584</v>
      </c>
      <c r="B572" s="28" t="s">
        <v>585</v>
      </c>
      <c r="C572" s="45">
        <v>44105</v>
      </c>
      <c r="D572" s="30"/>
      <c r="E572" s="31"/>
    </row>
    <row r="573" spans="1:5" ht="16" thickBot="1" x14ac:dyDescent="0.3">
      <c r="A573" s="41" t="s">
        <v>586</v>
      </c>
      <c r="B573" s="28" t="s">
        <v>587</v>
      </c>
      <c r="C573" s="29" t="s">
        <v>444</v>
      </c>
      <c r="D573" s="30"/>
      <c r="E573" s="31"/>
    </row>
    <row r="574" spans="1:5" ht="16" thickBot="1" x14ac:dyDescent="0.3">
      <c r="A574" s="41" t="s">
        <v>588</v>
      </c>
      <c r="B574" s="28" t="s">
        <v>589</v>
      </c>
      <c r="C574" s="50">
        <v>45935</v>
      </c>
      <c r="D574" s="30"/>
      <c r="E574" s="31"/>
    </row>
    <row r="575" spans="1:5" ht="16" thickBot="1" x14ac:dyDescent="0.3">
      <c r="A575" s="41" t="s">
        <v>590</v>
      </c>
      <c r="B575" s="28" t="s">
        <v>591</v>
      </c>
      <c r="C575" s="45">
        <v>44105</v>
      </c>
      <c r="D575" s="30"/>
      <c r="E575" s="31"/>
    </row>
    <row r="576" spans="1:5" ht="16" thickBot="1" x14ac:dyDescent="0.3">
      <c r="A576" s="41" t="s">
        <v>592</v>
      </c>
      <c r="B576" s="28" t="s">
        <v>593</v>
      </c>
      <c r="C576" s="29">
        <v>30</v>
      </c>
      <c r="D576" s="30"/>
      <c r="E576" s="31"/>
    </row>
    <row r="577" spans="1:5" ht="16" thickBot="1" x14ac:dyDescent="0.3">
      <c r="A577" s="41" t="s">
        <v>594</v>
      </c>
      <c r="B577" s="28" t="s">
        <v>595</v>
      </c>
      <c r="C577" s="45">
        <v>10</v>
      </c>
      <c r="D577" s="46"/>
      <c r="E577" s="47"/>
    </row>
    <row r="578" spans="1:5" ht="16" thickBot="1" x14ac:dyDescent="0.3">
      <c r="A578" s="41" t="s">
        <v>596</v>
      </c>
      <c r="B578" s="28" t="s">
        <v>597</v>
      </c>
      <c r="C578" s="29">
        <v>10</v>
      </c>
      <c r="D578" s="30"/>
      <c r="E578" s="31"/>
    </row>
    <row r="579" spans="1:5" ht="16" thickBot="1" x14ac:dyDescent="0.3">
      <c r="A579" s="41" t="s">
        <v>598</v>
      </c>
      <c r="B579" s="28" t="s">
        <v>599</v>
      </c>
      <c r="C579" s="50">
        <v>40</v>
      </c>
      <c r="D579" s="51"/>
      <c r="E579" s="52"/>
    </row>
    <row r="580" spans="1:5" ht="16" thickBot="1" x14ac:dyDescent="0.3">
      <c r="A580" s="41" t="s">
        <v>600</v>
      </c>
      <c r="B580" s="28" t="s">
        <v>601</v>
      </c>
      <c r="C580" s="45">
        <v>50</v>
      </c>
      <c r="D580" s="46"/>
      <c r="E580" s="47"/>
    </row>
    <row r="581" spans="1:5" ht="16" thickBot="1" x14ac:dyDescent="0.3">
      <c r="A581" s="41" t="s">
        <v>602</v>
      </c>
      <c r="B581" s="28" t="e">
        <f>- jiného prstu ruky</f>
        <v>#NAME?</v>
      </c>
      <c r="C581" s="29">
        <v>30</v>
      </c>
      <c r="D581" s="30"/>
      <c r="E581" s="31"/>
    </row>
    <row r="582" spans="1:5" ht="16" thickBot="1" x14ac:dyDescent="0.3">
      <c r="A582" s="41" t="s">
        <v>603</v>
      </c>
      <c r="B582" s="28" t="s">
        <v>604</v>
      </c>
      <c r="C582" s="29">
        <v>75</v>
      </c>
      <c r="D582" s="30"/>
      <c r="E582" s="31"/>
    </row>
    <row r="583" spans="1:5" ht="16" thickBot="1" x14ac:dyDescent="0.3">
      <c r="A583" s="41" t="s">
        <v>605</v>
      </c>
      <c r="B583" s="28" t="s">
        <v>606</v>
      </c>
      <c r="C583" s="29" t="s">
        <v>607</v>
      </c>
      <c r="D583" s="30"/>
      <c r="E583" s="31"/>
    </row>
    <row r="584" spans="1:5" ht="16" thickBot="1" x14ac:dyDescent="0.3">
      <c r="A584" s="41" t="s">
        <v>608</v>
      </c>
      <c r="B584" s="28" t="s">
        <v>609</v>
      </c>
      <c r="C584" s="29" t="s">
        <v>280</v>
      </c>
      <c r="D584" s="30"/>
      <c r="E584" s="31"/>
    </row>
    <row r="585" spans="1:5" ht="16" thickBot="1" x14ac:dyDescent="0.3">
      <c r="A585" s="41" t="s">
        <v>610</v>
      </c>
      <c r="B585" s="28" t="s">
        <v>611</v>
      </c>
      <c r="C585" s="29">
        <v>150</v>
      </c>
      <c r="D585" s="30"/>
      <c r="E585" s="31"/>
    </row>
    <row r="586" spans="1:5" ht="16" thickBot="1" x14ac:dyDescent="0.3">
      <c r="A586" s="41" t="s">
        <v>612</v>
      </c>
      <c r="B586" s="28" t="s">
        <v>613</v>
      </c>
      <c r="C586" s="29">
        <v>80</v>
      </c>
      <c r="D586" s="30"/>
      <c r="E586" s="31"/>
    </row>
    <row r="587" spans="1:5" ht="16" thickBot="1" x14ac:dyDescent="0.3">
      <c r="A587" s="41" t="s">
        <v>614</v>
      </c>
      <c r="B587" s="28" t="s">
        <v>615</v>
      </c>
      <c r="C587" s="29"/>
      <c r="D587" s="30"/>
      <c r="E587" s="31"/>
    </row>
    <row r="588" spans="1:5" ht="16" thickBot="1" x14ac:dyDescent="0.3">
      <c r="A588" s="41">
        <v>45671</v>
      </c>
      <c r="B588" s="28" t="s">
        <v>616</v>
      </c>
      <c r="C588" s="29">
        <v>150</v>
      </c>
      <c r="D588" s="30"/>
      <c r="E588" s="31"/>
    </row>
    <row r="589" spans="1:5" ht="31.5" thickBot="1" x14ac:dyDescent="0.3">
      <c r="A589" s="41">
        <v>45702</v>
      </c>
      <c r="B589" s="28" t="s">
        <v>617</v>
      </c>
      <c r="C589" s="29">
        <v>160</v>
      </c>
      <c r="D589" s="30"/>
      <c r="E589" s="31"/>
    </row>
    <row r="590" spans="1:5" ht="31.5" thickBot="1" x14ac:dyDescent="0.3">
      <c r="A590" s="41">
        <v>45730</v>
      </c>
      <c r="B590" s="28" t="s">
        <v>618</v>
      </c>
      <c r="C590" s="29">
        <v>180</v>
      </c>
      <c r="D590" s="30"/>
      <c r="E590" s="31"/>
    </row>
    <row r="591" spans="1:5" ht="16" thickBot="1" x14ac:dyDescent="0.3">
      <c r="A591" s="41">
        <v>45761</v>
      </c>
      <c r="B591" s="28" t="s">
        <v>619</v>
      </c>
      <c r="C591" s="29">
        <v>90</v>
      </c>
      <c r="D591" s="30"/>
      <c r="E591" s="31"/>
    </row>
    <row r="592" spans="1:5" ht="16" thickBot="1" x14ac:dyDescent="0.3">
      <c r="A592" s="41">
        <v>45791</v>
      </c>
      <c r="B592" s="24" t="s">
        <v>620</v>
      </c>
      <c r="C592" s="25">
        <v>70</v>
      </c>
      <c r="D592" s="26"/>
      <c r="E592" s="27"/>
    </row>
    <row r="593" spans="1:5" ht="16" thickBot="1" x14ac:dyDescent="0.3">
      <c r="A593" s="23">
        <v>45822</v>
      </c>
      <c r="B593" s="28" t="s">
        <v>621</v>
      </c>
      <c r="C593" s="29">
        <v>120</v>
      </c>
      <c r="D593" s="30"/>
      <c r="E593" s="31"/>
    </row>
    <row r="594" spans="1:5" ht="16" thickBot="1" x14ac:dyDescent="0.3">
      <c r="A594" s="23">
        <v>45852</v>
      </c>
      <c r="B594" s="28" t="e">
        <f>- úplná bez posunu</f>
        <v>#NAME?</v>
      </c>
      <c r="C594" s="29">
        <v>200</v>
      </c>
      <c r="D594" s="30"/>
      <c r="E594" s="31"/>
    </row>
    <row r="595" spans="1:5" ht="16" thickBot="1" x14ac:dyDescent="0.3">
      <c r="A595" s="23">
        <v>45883</v>
      </c>
      <c r="B595" s="28" t="s">
        <v>622</v>
      </c>
      <c r="C595" s="29">
        <v>250</v>
      </c>
      <c r="D595" s="30"/>
      <c r="E595" s="31"/>
    </row>
    <row r="596" spans="1:5" ht="16" thickBot="1" x14ac:dyDescent="0.3">
      <c r="A596" s="23">
        <v>45914</v>
      </c>
      <c r="B596" s="28" t="s">
        <v>623</v>
      </c>
      <c r="C596" s="29">
        <v>100</v>
      </c>
      <c r="D596" s="30"/>
      <c r="E596" s="31"/>
    </row>
    <row r="597" spans="1:5" ht="16" thickBot="1" x14ac:dyDescent="0.3">
      <c r="A597" s="23">
        <v>45944</v>
      </c>
      <c r="B597" s="28" t="e">
        <f>- úplná bez posunu úlomků</f>
        <v>#NAME?</v>
      </c>
      <c r="C597" s="29">
        <v>200</v>
      </c>
      <c r="D597" s="30"/>
      <c r="E597" s="31"/>
    </row>
    <row r="598" spans="1:5" ht="16" thickBot="1" x14ac:dyDescent="0.3">
      <c r="A598" s="23">
        <v>45975</v>
      </c>
      <c r="B598" s="28" t="e">
        <f>- úplná s posunem úlomků</f>
        <v>#NAME?</v>
      </c>
      <c r="C598" s="29">
        <v>220</v>
      </c>
      <c r="D598" s="30"/>
      <c r="E598" s="31"/>
    </row>
    <row r="599" spans="1:5" ht="16" thickBot="1" x14ac:dyDescent="0.3">
      <c r="A599" s="23">
        <v>46005</v>
      </c>
      <c r="B599" s="28" t="e">
        <f>- tříštivá</f>
        <v>#NAME?</v>
      </c>
      <c r="C599" s="29">
        <v>250</v>
      </c>
      <c r="D599" s="30"/>
      <c r="E599" s="31"/>
    </row>
    <row r="600" spans="1:5" ht="16" thickBot="1" x14ac:dyDescent="0.3">
      <c r="A600" s="23" t="s">
        <v>624</v>
      </c>
      <c r="B600" s="28" t="s">
        <v>625</v>
      </c>
      <c r="C600" s="29">
        <v>100</v>
      </c>
      <c r="D600" s="30"/>
      <c r="E600" s="31"/>
    </row>
    <row r="601" spans="1:5" ht="16" thickBot="1" x14ac:dyDescent="0.3">
      <c r="A601" s="23" t="s">
        <v>626</v>
      </c>
      <c r="B601" s="28" t="e">
        <f>- s posunem úlomků</f>
        <v>#NAME?</v>
      </c>
      <c r="C601" s="29">
        <v>180</v>
      </c>
      <c r="D601" s="30"/>
      <c r="E601" s="31"/>
    </row>
    <row r="602" spans="1:5" ht="16" thickBot="1" x14ac:dyDescent="0.3">
      <c r="A602" s="23" t="s">
        <v>627</v>
      </c>
      <c r="B602" s="28" t="e">
        <f>- tříštivá</f>
        <v>#NAME?</v>
      </c>
      <c r="C602" s="29">
        <v>250</v>
      </c>
      <c r="D602" s="30"/>
      <c r="E602" s="31"/>
    </row>
    <row r="603" spans="1:5" ht="31.5" thickBot="1" x14ac:dyDescent="0.3">
      <c r="A603" s="23" t="s">
        <v>628</v>
      </c>
      <c r="B603" s="28" t="s">
        <v>629</v>
      </c>
      <c r="C603" s="29">
        <v>90</v>
      </c>
      <c r="D603" s="30"/>
      <c r="E603" s="31"/>
    </row>
    <row r="604" spans="1:5" ht="16" thickBot="1" x14ac:dyDescent="0.3">
      <c r="A604" s="23" t="s">
        <v>630</v>
      </c>
      <c r="B604" s="28" t="e">
        <f>- s posunem úlomků</f>
        <v>#NAME?</v>
      </c>
      <c r="C604" s="29">
        <v>180</v>
      </c>
      <c r="D604" s="30"/>
      <c r="E604" s="31"/>
    </row>
    <row r="605" spans="1:5" ht="16" thickBot="1" x14ac:dyDescent="0.3">
      <c r="A605" s="23" t="s">
        <v>631</v>
      </c>
      <c r="B605" s="28" t="e">
        <f>- tříštivá</f>
        <v>#NAME?</v>
      </c>
      <c r="C605" s="29">
        <v>250</v>
      </c>
      <c r="D605" s="30"/>
      <c r="E605" s="31"/>
    </row>
    <row r="606" spans="1:5" ht="16" thickBot="1" x14ac:dyDescent="0.3">
      <c r="A606" s="23" t="s">
        <v>632</v>
      </c>
      <c r="B606" s="28" t="s">
        <v>633</v>
      </c>
      <c r="C606" s="29">
        <v>90</v>
      </c>
      <c r="D606" s="30"/>
      <c r="E606" s="31"/>
    </row>
    <row r="607" spans="1:5" ht="16" thickBot="1" x14ac:dyDescent="0.3">
      <c r="A607" s="23" t="s">
        <v>634</v>
      </c>
      <c r="B607" s="28" t="e">
        <f>- s posunem</f>
        <v>#NAME?</v>
      </c>
      <c r="C607" s="29">
        <v>120</v>
      </c>
      <c r="D607" s="30"/>
      <c r="E607" s="31"/>
    </row>
    <row r="608" spans="1:5" ht="31.5" thickBot="1" x14ac:dyDescent="0.3">
      <c r="A608" s="23" t="s">
        <v>635</v>
      </c>
      <c r="B608" s="28" t="s">
        <v>636</v>
      </c>
      <c r="C608" s="29">
        <v>150</v>
      </c>
      <c r="D608" s="30"/>
      <c r="E608" s="31"/>
    </row>
    <row r="609" spans="1:5" ht="16" thickBot="1" x14ac:dyDescent="0.3">
      <c r="A609" s="23" t="s">
        <v>637</v>
      </c>
      <c r="B609" s="28" t="e">
        <f>- s posunem úlomků</f>
        <v>#NAME?</v>
      </c>
      <c r="C609" s="29">
        <v>200</v>
      </c>
      <c r="D609" s="30"/>
      <c r="E609" s="31"/>
    </row>
    <row r="610" spans="1:5" ht="16" thickBot="1" x14ac:dyDescent="0.3">
      <c r="A610" s="23" t="s">
        <v>638</v>
      </c>
      <c r="B610" s="28" t="e">
        <f>- tříštivá</f>
        <v>#NAME?</v>
      </c>
      <c r="C610" s="29">
        <v>250</v>
      </c>
      <c r="D610" s="30"/>
      <c r="E610" s="31"/>
    </row>
    <row r="611" spans="1:5" ht="31.5" thickBot="1" x14ac:dyDescent="0.3">
      <c r="A611" s="23" t="s">
        <v>639</v>
      </c>
      <c r="B611" s="28" t="s">
        <v>640</v>
      </c>
      <c r="C611" s="29">
        <v>60</v>
      </c>
      <c r="D611" s="30"/>
      <c r="E611" s="31"/>
    </row>
    <row r="612" spans="1:5" ht="16" thickBot="1" x14ac:dyDescent="0.3">
      <c r="A612" s="23" t="s">
        <v>641</v>
      </c>
      <c r="B612" s="28" t="s">
        <v>642</v>
      </c>
      <c r="C612" s="29">
        <v>120</v>
      </c>
      <c r="D612" s="30"/>
      <c r="E612" s="31"/>
    </row>
    <row r="613" spans="1:5" ht="16" thickBot="1" x14ac:dyDescent="0.3">
      <c r="A613" s="23" t="s">
        <v>643</v>
      </c>
      <c r="B613" s="28" t="s">
        <v>644</v>
      </c>
      <c r="C613" s="29">
        <v>40</v>
      </c>
      <c r="D613" s="30"/>
      <c r="E613" s="31"/>
    </row>
    <row r="614" spans="1:5" ht="16" thickBot="1" x14ac:dyDescent="0.3">
      <c r="A614" s="23"/>
      <c r="B614" s="28" t="s">
        <v>645</v>
      </c>
      <c r="C614" s="29"/>
      <c r="D614" s="30"/>
      <c r="E614" s="31"/>
    </row>
    <row r="615" spans="1:5" ht="16" thickBot="1" x14ac:dyDescent="0.3">
      <c r="A615" s="23" t="s">
        <v>646</v>
      </c>
      <c r="B615" s="28" t="s">
        <v>647</v>
      </c>
      <c r="C615" s="29">
        <v>100</v>
      </c>
      <c r="D615" s="30"/>
      <c r="E615" s="31"/>
    </row>
    <row r="616" spans="1:5" ht="16" thickBot="1" x14ac:dyDescent="0.3">
      <c r="A616" s="49" t="s">
        <v>648</v>
      </c>
      <c r="B616" s="28" t="s">
        <v>649</v>
      </c>
      <c r="C616" s="29">
        <v>140</v>
      </c>
      <c r="D616" s="30"/>
      <c r="E616" s="31"/>
    </row>
    <row r="617" spans="1:5" ht="16" thickBot="1" x14ac:dyDescent="0.3">
      <c r="A617" s="49" t="s">
        <v>650</v>
      </c>
      <c r="B617" s="28" t="s">
        <v>651</v>
      </c>
      <c r="C617" s="29">
        <v>100</v>
      </c>
      <c r="D617" s="30"/>
      <c r="E617" s="31"/>
    </row>
    <row r="618" spans="1:5" ht="16" thickBot="1" x14ac:dyDescent="0.3">
      <c r="A618" s="49" t="s">
        <v>652</v>
      </c>
      <c r="B618" s="28" t="s">
        <v>653</v>
      </c>
      <c r="C618" s="29">
        <v>120</v>
      </c>
      <c r="D618" s="30"/>
      <c r="E618" s="31"/>
    </row>
    <row r="619" spans="1:5" ht="16" thickBot="1" x14ac:dyDescent="0.3">
      <c r="A619" s="53" t="s">
        <v>654</v>
      </c>
      <c r="B619" s="24" t="s">
        <v>655</v>
      </c>
      <c r="C619" s="25">
        <v>30</v>
      </c>
      <c r="D619" s="26"/>
      <c r="E619" s="27"/>
    </row>
    <row r="620" spans="1:5" ht="16" thickBot="1" x14ac:dyDescent="0.3">
      <c r="A620" s="49" t="s">
        <v>656</v>
      </c>
      <c r="B620" s="28" t="s">
        <v>657</v>
      </c>
      <c r="C620" s="29">
        <v>40</v>
      </c>
      <c r="D620" s="30"/>
      <c r="E620" s="31"/>
    </row>
    <row r="621" spans="1:5" ht="16" thickBot="1" x14ac:dyDescent="0.3">
      <c r="A621" s="49" t="s">
        <v>658</v>
      </c>
      <c r="B621" s="28" t="s">
        <v>659</v>
      </c>
      <c r="C621" s="29">
        <v>30</v>
      </c>
      <c r="D621" s="30"/>
      <c r="E621" s="31"/>
    </row>
    <row r="622" spans="1:5" ht="16" thickBot="1" x14ac:dyDescent="0.3">
      <c r="A622" s="49" t="s">
        <v>660</v>
      </c>
      <c r="B622" s="28" t="s">
        <v>661</v>
      </c>
      <c r="C622" s="29">
        <v>40</v>
      </c>
      <c r="D622" s="30"/>
      <c r="E622" s="31"/>
    </row>
    <row r="623" spans="1:5" ht="16" thickBot="1" x14ac:dyDescent="0.3">
      <c r="A623" s="49" t="s">
        <v>662</v>
      </c>
      <c r="B623" s="28" t="s">
        <v>663</v>
      </c>
      <c r="C623" s="29">
        <v>150</v>
      </c>
      <c r="D623" s="30"/>
      <c r="E623" s="31"/>
    </row>
    <row r="624" spans="1:5" ht="16" thickBot="1" x14ac:dyDescent="0.3">
      <c r="A624" s="49" t="s">
        <v>664</v>
      </c>
      <c r="B624" s="28" t="s">
        <v>665</v>
      </c>
      <c r="C624" s="29">
        <v>60</v>
      </c>
      <c r="D624" s="30"/>
      <c r="E624" s="31"/>
    </row>
    <row r="625" spans="1:5" ht="16" thickBot="1" x14ac:dyDescent="0.3">
      <c r="A625" s="49" t="s">
        <v>666</v>
      </c>
      <c r="B625" s="28" t="s">
        <v>667</v>
      </c>
      <c r="C625" s="29">
        <v>10</v>
      </c>
      <c r="D625" s="30"/>
      <c r="E625" s="31"/>
    </row>
    <row r="626" spans="1:5" ht="16" thickBot="1" x14ac:dyDescent="0.3">
      <c r="A626" s="49" t="s">
        <v>668</v>
      </c>
      <c r="B626" s="28" t="s">
        <v>669</v>
      </c>
      <c r="C626" s="29">
        <v>10</v>
      </c>
      <c r="D626" s="30"/>
      <c r="E626" s="31"/>
    </row>
    <row r="627" spans="1:5" ht="16" thickBot="1" x14ac:dyDescent="0.3">
      <c r="A627" s="49" t="s">
        <v>670</v>
      </c>
      <c r="B627" s="28" t="e">
        <f>- natržení</f>
        <v>#NAME?</v>
      </c>
      <c r="C627" s="29">
        <v>20</v>
      </c>
      <c r="D627" s="30"/>
      <c r="E627" s="31"/>
    </row>
    <row r="628" spans="1:5" ht="16" thickBot="1" x14ac:dyDescent="0.3">
      <c r="A628" s="49" t="s">
        <v>671</v>
      </c>
      <c r="B628" s="28" t="s">
        <v>672</v>
      </c>
      <c r="C628" s="29">
        <v>30</v>
      </c>
      <c r="D628" s="30"/>
      <c r="E628" s="31"/>
    </row>
    <row r="629" spans="1:5" ht="31.5" thickBot="1" x14ac:dyDescent="0.3">
      <c r="A629" s="49" t="s">
        <v>673</v>
      </c>
      <c r="B629" s="28" t="s">
        <v>674</v>
      </c>
      <c r="C629" s="29">
        <v>40</v>
      </c>
      <c r="D629" s="30"/>
      <c r="E629" s="31"/>
    </row>
    <row r="630" spans="1:5" ht="16" thickBot="1" x14ac:dyDescent="0.3">
      <c r="A630" s="49" t="s">
        <v>675</v>
      </c>
      <c r="B630" s="28" t="e">
        <f>- přetržení</f>
        <v>#NAME?</v>
      </c>
      <c r="C630" s="29">
        <v>70</v>
      </c>
      <c r="D630" s="30"/>
      <c r="E630" s="31"/>
    </row>
    <row r="631" spans="1:5" ht="31.5" thickBot="1" x14ac:dyDescent="0.3">
      <c r="A631" s="49" t="s">
        <v>676</v>
      </c>
      <c r="B631" s="28" t="s">
        <v>677</v>
      </c>
      <c r="C631" s="29">
        <v>10</v>
      </c>
      <c r="D631" s="30"/>
      <c r="E631" s="31"/>
    </row>
    <row r="632" spans="1:5" ht="16" thickBot="1" x14ac:dyDescent="0.3">
      <c r="A632" s="49" t="s">
        <v>678</v>
      </c>
      <c r="B632" s="28" t="e">
        <f>- natržení</f>
        <v>#NAME?</v>
      </c>
      <c r="C632" s="29">
        <v>20</v>
      </c>
      <c r="D632" s="30"/>
      <c r="E632" s="31"/>
    </row>
    <row r="633" spans="1:5" ht="16" thickBot="1" x14ac:dyDescent="0.3">
      <c r="A633" s="49" t="s">
        <v>679</v>
      </c>
      <c r="B633" s="28" t="s">
        <v>672</v>
      </c>
      <c r="C633" s="29">
        <v>30</v>
      </c>
      <c r="D633" s="30"/>
      <c r="E633" s="31"/>
    </row>
    <row r="634" spans="1:5" ht="16" thickBot="1" x14ac:dyDescent="0.3">
      <c r="A634" s="49" t="s">
        <v>680</v>
      </c>
      <c r="B634" s="28" t="s">
        <v>681</v>
      </c>
      <c r="C634" s="29">
        <v>10</v>
      </c>
      <c r="D634" s="30"/>
      <c r="E634" s="31"/>
    </row>
    <row r="635" spans="1:5" ht="16" thickBot="1" x14ac:dyDescent="0.3">
      <c r="A635" s="49" t="s">
        <v>682</v>
      </c>
      <c r="B635" s="28" t="e">
        <f>- natržení</f>
        <v>#NAME?</v>
      </c>
      <c r="C635" s="29">
        <v>20</v>
      </c>
      <c r="D635" s="30"/>
      <c r="E635" s="31"/>
    </row>
    <row r="636" spans="1:5" ht="16" thickBot="1" x14ac:dyDescent="0.3">
      <c r="A636" s="49" t="s">
        <v>683</v>
      </c>
      <c r="B636" s="28" t="s">
        <v>672</v>
      </c>
      <c r="C636" s="29">
        <v>30</v>
      </c>
      <c r="D636" s="30"/>
      <c r="E636" s="31"/>
    </row>
    <row r="637" spans="1:5" ht="31.5" thickBot="1" x14ac:dyDescent="0.3">
      <c r="A637" s="49" t="s">
        <v>684</v>
      </c>
      <c r="B637" s="28" t="s">
        <v>685</v>
      </c>
      <c r="C637" s="29">
        <v>10</v>
      </c>
      <c r="D637" s="30"/>
      <c r="E637" s="31"/>
    </row>
    <row r="638" spans="1:5" ht="16" thickBot="1" x14ac:dyDescent="0.3">
      <c r="A638" s="49" t="s">
        <v>686</v>
      </c>
      <c r="B638" s="28" t="e">
        <f>- natržení</f>
        <v>#NAME?</v>
      </c>
      <c r="C638" s="29">
        <v>15</v>
      </c>
      <c r="D638" s="30"/>
      <c r="E638" s="31"/>
    </row>
    <row r="639" spans="1:5" ht="16" thickBot="1" x14ac:dyDescent="0.3">
      <c r="A639" s="49" t="s">
        <v>687</v>
      </c>
      <c r="B639" s="28" t="e">
        <f>- přetržení</f>
        <v>#NAME?</v>
      </c>
      <c r="C639" s="29">
        <v>20</v>
      </c>
      <c r="D639" s="30"/>
      <c r="E639" s="31"/>
    </row>
    <row r="640" spans="1:5" ht="16" thickBot="1" x14ac:dyDescent="0.3">
      <c r="A640" s="49" t="s">
        <v>688</v>
      </c>
      <c r="B640" s="28" t="s">
        <v>689</v>
      </c>
      <c r="C640" s="45">
        <v>300</v>
      </c>
      <c r="D640" s="30"/>
      <c r="E640" s="31"/>
    </row>
    <row r="641" spans="1:5" ht="16" thickBot="1" x14ac:dyDescent="0.3">
      <c r="A641" s="49" t="s">
        <v>690</v>
      </c>
      <c r="B641" s="28" t="s">
        <v>691</v>
      </c>
      <c r="C641" s="29">
        <v>200</v>
      </c>
      <c r="D641" s="30"/>
      <c r="E641" s="31"/>
    </row>
    <row r="642" spans="1:5" ht="16" thickBot="1" x14ac:dyDescent="0.3">
      <c r="A642" s="49" t="s">
        <v>692</v>
      </c>
      <c r="B642" s="28" t="s">
        <v>693</v>
      </c>
      <c r="C642" s="50">
        <v>400</v>
      </c>
      <c r="D642" s="30"/>
      <c r="E642" s="31"/>
    </row>
    <row r="643" spans="1:5" ht="16" thickBot="1" x14ac:dyDescent="0.3">
      <c r="A643" s="49" t="s">
        <v>694</v>
      </c>
      <c r="B643" s="28" t="s">
        <v>695</v>
      </c>
      <c r="C643" s="45">
        <v>300</v>
      </c>
      <c r="D643" s="30"/>
      <c r="E643" s="31"/>
    </row>
    <row r="644" spans="1:5" ht="16" thickBot="1" x14ac:dyDescent="0.3">
      <c r="A644" s="49" t="s">
        <v>696</v>
      </c>
      <c r="B644" s="28" t="s">
        <v>697</v>
      </c>
      <c r="C644" s="29"/>
      <c r="D644" s="30"/>
      <c r="E644" s="31"/>
    </row>
    <row r="645" spans="1:5" ht="16" thickBot="1" x14ac:dyDescent="0.3">
      <c r="A645" s="23">
        <v>45672</v>
      </c>
      <c r="B645" s="28" t="s">
        <v>698</v>
      </c>
      <c r="C645" s="29">
        <v>35</v>
      </c>
      <c r="D645" s="30"/>
      <c r="E645" s="31"/>
    </row>
    <row r="646" spans="1:5" ht="16" thickBot="1" x14ac:dyDescent="0.3">
      <c r="A646" s="23">
        <v>45703</v>
      </c>
      <c r="B646" s="28" t="s">
        <v>498</v>
      </c>
      <c r="C646" s="29">
        <v>70</v>
      </c>
      <c r="D646" s="30"/>
      <c r="E646" s="31"/>
    </row>
    <row r="647" spans="1:5" ht="16" thickBot="1" x14ac:dyDescent="0.3">
      <c r="A647" s="23">
        <v>45731</v>
      </c>
      <c r="B647" s="28" t="e">
        <f>- izolovaná zlomenina kloubní chrupavky na čéšce</f>
        <v>#NAME?</v>
      </c>
      <c r="C647" s="29">
        <v>30</v>
      </c>
      <c r="D647" s="30"/>
      <c r="E647" s="31"/>
    </row>
    <row r="648" spans="1:5" ht="16" thickBot="1" x14ac:dyDescent="0.3">
      <c r="A648" s="23">
        <v>45762</v>
      </c>
      <c r="B648" s="28" t="s">
        <v>699</v>
      </c>
      <c r="C648" s="29">
        <v>70</v>
      </c>
      <c r="D648" s="30"/>
      <c r="E648" s="31"/>
    </row>
    <row r="649" spans="1:5" ht="31.5" thickBot="1" x14ac:dyDescent="0.3">
      <c r="A649" s="23">
        <v>45792</v>
      </c>
      <c r="B649" s="24" t="s">
        <v>700</v>
      </c>
      <c r="C649" s="25">
        <v>90</v>
      </c>
      <c r="D649" s="26"/>
      <c r="E649" s="27"/>
    </row>
    <row r="650" spans="1:5" ht="16" thickBot="1" x14ac:dyDescent="0.3">
      <c r="A650" s="23">
        <v>45823</v>
      </c>
      <c r="B650" s="28" t="e">
        <f>- jednoho kondylu s posunem úlomků</f>
        <v>#NAME?</v>
      </c>
      <c r="C650" s="29">
        <v>120</v>
      </c>
      <c r="D650" s="30"/>
      <c r="E650" s="31"/>
    </row>
    <row r="651" spans="1:5" ht="16" thickBot="1" x14ac:dyDescent="0.3">
      <c r="A651" s="23">
        <v>45853</v>
      </c>
      <c r="B651" s="28" t="e">
        <f>- obou kondylu bez posunu úlomků</f>
        <v>#NAME?</v>
      </c>
      <c r="C651" s="29">
        <v>150</v>
      </c>
      <c r="D651" s="30"/>
      <c r="E651" s="31"/>
    </row>
    <row r="652" spans="1:5" ht="16" thickBot="1" x14ac:dyDescent="0.3">
      <c r="A652" s="23">
        <v>45884</v>
      </c>
      <c r="B652" s="28" t="e">
        <f>- obou kondylu s posunem úlomků</f>
        <v>#NAME?</v>
      </c>
      <c r="C652" s="29">
        <v>200</v>
      </c>
      <c r="D652" s="30"/>
      <c r="E652" s="31"/>
    </row>
    <row r="653" spans="1:5" ht="16" thickBot="1" x14ac:dyDescent="0.3">
      <c r="A653" s="23">
        <v>45915</v>
      </c>
      <c r="B653" s="28" t="s">
        <v>701</v>
      </c>
      <c r="C653" s="29">
        <v>60</v>
      </c>
      <c r="D653" s="30"/>
      <c r="E653" s="31"/>
    </row>
    <row r="654" spans="1:5" ht="16" thickBot="1" x14ac:dyDescent="0.3">
      <c r="A654" s="23">
        <v>45945</v>
      </c>
      <c r="B654" s="28" t="s">
        <v>702</v>
      </c>
      <c r="C654" s="29">
        <v>100</v>
      </c>
      <c r="D654" s="30"/>
      <c r="E654" s="31"/>
    </row>
    <row r="655" spans="1:5" ht="16" thickBot="1" x14ac:dyDescent="0.3">
      <c r="A655" s="23">
        <v>45976</v>
      </c>
      <c r="B655" s="28" t="e">
        <f>- s posunem úlomků</f>
        <v>#NAME?</v>
      </c>
      <c r="C655" s="29">
        <v>150</v>
      </c>
      <c r="D655" s="30"/>
      <c r="E655" s="31"/>
    </row>
    <row r="656" spans="1:5" ht="16" thickBot="1" x14ac:dyDescent="0.3">
      <c r="A656" s="23">
        <v>46006</v>
      </c>
      <c r="B656" s="28" t="e">
        <f>- tříštivá</f>
        <v>#NAME?</v>
      </c>
      <c r="C656" s="29">
        <v>210</v>
      </c>
      <c r="D656" s="30"/>
      <c r="E656" s="31"/>
    </row>
    <row r="657" spans="1:5" ht="16" thickBot="1" x14ac:dyDescent="0.3">
      <c r="A657" s="23" t="s">
        <v>703</v>
      </c>
      <c r="B657" s="28" t="s">
        <v>704</v>
      </c>
      <c r="C657" s="29">
        <v>60</v>
      </c>
      <c r="D657" s="30"/>
      <c r="E657" s="31"/>
    </row>
    <row r="658" spans="1:5" ht="16" thickBot="1" x14ac:dyDescent="0.3">
      <c r="A658" s="23" t="s">
        <v>705</v>
      </c>
      <c r="B658" s="28" t="e">
        <f>- s posunem</f>
        <v>#NAME?</v>
      </c>
      <c r="C658" s="29">
        <v>150</v>
      </c>
      <c r="D658" s="30"/>
      <c r="E658" s="31"/>
    </row>
    <row r="659" spans="1:5" ht="16" thickBot="1" x14ac:dyDescent="0.3">
      <c r="A659" s="23" t="s">
        <v>706</v>
      </c>
      <c r="B659" s="28" t="e">
        <f>- nitrokloubní</f>
        <v>#NAME?</v>
      </c>
      <c r="C659" s="29">
        <v>200</v>
      </c>
      <c r="D659" s="30"/>
      <c r="E659" s="31"/>
    </row>
    <row r="660" spans="1:5" ht="16" thickBot="1" x14ac:dyDescent="0.3">
      <c r="A660" s="23" t="s">
        <v>707</v>
      </c>
      <c r="B660" s="28" t="e">
        <f>- tříštivá nitrokloubní</f>
        <v>#NAME?</v>
      </c>
      <c r="C660" s="29">
        <v>250</v>
      </c>
      <c r="D660" s="30"/>
      <c r="E660" s="31"/>
    </row>
    <row r="661" spans="1:5" ht="16" thickBot="1" x14ac:dyDescent="0.3">
      <c r="A661" s="23"/>
      <c r="B661" s="28" t="s">
        <v>708</v>
      </c>
      <c r="C661" s="29"/>
      <c r="D661" s="30"/>
      <c r="E661" s="31"/>
    </row>
    <row r="662" spans="1:5" ht="16" thickBot="1" x14ac:dyDescent="0.3">
      <c r="A662" s="23" t="s">
        <v>709</v>
      </c>
      <c r="B662" s="28" t="e">
        <f>- vnitřní kotník izolovaně - bez posunu</f>
        <v>#NAME?</v>
      </c>
      <c r="C662" s="29">
        <v>80</v>
      </c>
      <c r="D662" s="30"/>
      <c r="E662" s="31"/>
    </row>
    <row r="663" spans="1:5" ht="16" thickBot="1" x14ac:dyDescent="0.3">
      <c r="A663" s="23" t="s">
        <v>710</v>
      </c>
      <c r="B663" s="28" t="e">
        <f>- s posunem</f>
        <v>#NAME?</v>
      </c>
      <c r="C663" s="29">
        <v>120</v>
      </c>
      <c r="D663" s="30"/>
      <c r="E663" s="31"/>
    </row>
    <row r="664" spans="1:5" ht="16" thickBot="1" x14ac:dyDescent="0.3">
      <c r="A664" s="23" t="s">
        <v>711</v>
      </c>
      <c r="B664" s="28" t="e">
        <f>- vnější kotník izolovaně - bez posunu</f>
        <v>#NAME?</v>
      </c>
      <c r="C664" s="29">
        <v>80</v>
      </c>
      <c r="D664" s="30"/>
      <c r="E664" s="31"/>
    </row>
    <row r="665" spans="1:5" ht="16" thickBot="1" x14ac:dyDescent="0.3">
      <c r="A665" s="23" t="s">
        <v>712</v>
      </c>
      <c r="B665" s="28" t="e">
        <f>- s posunem</f>
        <v>#NAME?</v>
      </c>
      <c r="C665" s="29">
        <v>120</v>
      </c>
      <c r="D665" s="30"/>
      <c r="E665" s="31"/>
    </row>
    <row r="666" spans="1:5" ht="31.5" thickBot="1" x14ac:dyDescent="0.3">
      <c r="A666" s="44" t="s">
        <v>713</v>
      </c>
      <c r="B666" s="24" t="s">
        <v>714</v>
      </c>
      <c r="C666" s="25">
        <v>100</v>
      </c>
      <c r="D666" s="26"/>
      <c r="E666" s="27"/>
    </row>
    <row r="667" spans="1:5" ht="31.5" thickBot="1" x14ac:dyDescent="0.3">
      <c r="A667" s="23" t="s">
        <v>715</v>
      </c>
      <c r="B667" s="28" t="s">
        <v>716</v>
      </c>
      <c r="C667" s="29">
        <v>150</v>
      </c>
      <c r="D667" s="30"/>
      <c r="E667" s="31"/>
    </row>
    <row r="668" spans="1:5" ht="31.5" thickBot="1" x14ac:dyDescent="0.3">
      <c r="A668" s="49" t="s">
        <v>717</v>
      </c>
      <c r="B668" s="28" t="s">
        <v>718</v>
      </c>
      <c r="C668" s="29">
        <v>180</v>
      </c>
      <c r="D668" s="30"/>
      <c r="E668" s="31"/>
    </row>
    <row r="669" spans="1:5" ht="16" thickBot="1" x14ac:dyDescent="0.3">
      <c r="A669" s="49" t="s">
        <v>719</v>
      </c>
      <c r="B669" s="28" t="e">
        <f>- zadní hrana holenní kosti izolovaně</f>
        <v>#NAME?</v>
      </c>
      <c r="C669" s="29">
        <v>100</v>
      </c>
      <c r="D669" s="30"/>
      <c r="E669" s="31"/>
    </row>
    <row r="670" spans="1:5" ht="16" thickBot="1" x14ac:dyDescent="0.3">
      <c r="A670" s="49" t="s">
        <v>720</v>
      </c>
      <c r="B670" s="28" t="s">
        <v>721</v>
      </c>
      <c r="C670" s="29">
        <v>200</v>
      </c>
      <c r="D670" s="30"/>
      <c r="E670" s="31"/>
    </row>
    <row r="671" spans="1:5" ht="31.5" thickBot="1" x14ac:dyDescent="0.3">
      <c r="A671" s="49" t="s">
        <v>722</v>
      </c>
      <c r="B671" s="28" t="s">
        <v>723</v>
      </c>
      <c r="C671" s="29">
        <v>40</v>
      </c>
      <c r="D671" s="30"/>
      <c r="E671" s="31"/>
    </row>
    <row r="672" spans="1:5" ht="16" thickBot="1" x14ac:dyDescent="0.3">
      <c r="A672" s="49" t="s">
        <v>724</v>
      </c>
      <c r="B672" s="28" t="s">
        <v>725</v>
      </c>
      <c r="C672" s="29">
        <v>45</v>
      </c>
      <c r="D672" s="30"/>
      <c r="E672" s="31"/>
    </row>
    <row r="673" spans="1:5" ht="16" thickBot="1" x14ac:dyDescent="0.3">
      <c r="A673" s="49" t="s">
        <v>726</v>
      </c>
      <c r="B673" s="28" t="s">
        <v>727</v>
      </c>
      <c r="C673" s="29">
        <v>90</v>
      </c>
      <c r="D673" s="30"/>
      <c r="E673" s="31"/>
    </row>
    <row r="674" spans="1:5" ht="16" thickBot="1" x14ac:dyDescent="0.3">
      <c r="A674" s="49" t="s">
        <v>728</v>
      </c>
      <c r="B674" s="28" t="s">
        <v>729</v>
      </c>
      <c r="C674" s="29">
        <v>50</v>
      </c>
      <c r="D674" s="30"/>
      <c r="E674" s="31"/>
    </row>
    <row r="675" spans="1:5" ht="16" thickBot="1" x14ac:dyDescent="0.3">
      <c r="A675" s="49" t="s">
        <v>730</v>
      </c>
      <c r="B675" s="28" t="s">
        <v>731</v>
      </c>
      <c r="C675" s="29">
        <v>40</v>
      </c>
      <c r="D675" s="30"/>
      <c r="E675" s="31"/>
    </row>
    <row r="676" spans="1:5" ht="31.5" thickBot="1" x14ac:dyDescent="0.3">
      <c r="A676" s="49" t="s">
        <v>732</v>
      </c>
      <c r="B676" s="28" t="s">
        <v>733</v>
      </c>
      <c r="C676" s="29">
        <v>45</v>
      </c>
      <c r="D676" s="30"/>
      <c r="E676" s="31"/>
    </row>
    <row r="677" spans="1:5" ht="16" thickBot="1" x14ac:dyDescent="0.3">
      <c r="A677" s="49" t="s">
        <v>734</v>
      </c>
      <c r="B677" s="28" t="e">
        <f>- natržení zkříženého vazu kolenního</f>
        <v>#NAME?</v>
      </c>
      <c r="C677" s="29">
        <v>60</v>
      </c>
      <c r="D677" s="30"/>
      <c r="E677" s="31"/>
    </row>
    <row r="678" spans="1:5" ht="16" thickBot="1" x14ac:dyDescent="0.3">
      <c r="A678" s="49" t="s">
        <v>735</v>
      </c>
      <c r="B678" s="28" t="e">
        <f>- přetržení nebo odtržení postranního vazu kolenního</f>
        <v>#NAME?</v>
      </c>
      <c r="C678" s="29">
        <v>80</v>
      </c>
      <c r="D678" s="30"/>
      <c r="E678" s="31"/>
    </row>
    <row r="679" spans="1:5" ht="16" thickBot="1" x14ac:dyDescent="0.3">
      <c r="A679" s="49" t="s">
        <v>736</v>
      </c>
      <c r="B679" s="28" t="e">
        <f>- přetržení zkříženého vazu kolenního</f>
        <v>#NAME?</v>
      </c>
      <c r="C679" s="29">
        <v>80</v>
      </c>
      <c r="D679" s="30"/>
      <c r="E679" s="31"/>
    </row>
    <row r="680" spans="1:5" ht="16" thickBot="1" x14ac:dyDescent="0.3">
      <c r="A680" s="49" t="s">
        <v>737</v>
      </c>
      <c r="B680" s="28" t="s">
        <v>738</v>
      </c>
      <c r="C680" s="29"/>
      <c r="D680" s="30"/>
      <c r="E680" s="31"/>
    </row>
    <row r="681" spans="1:5" ht="16" thickBot="1" x14ac:dyDescent="0.3">
      <c r="A681" s="49" t="s">
        <v>739</v>
      </c>
      <c r="B681" s="28">
        <v>70</v>
      </c>
      <c r="C681" s="29"/>
      <c r="D681" s="30"/>
      <c r="E681" s="31"/>
    </row>
    <row r="682" spans="1:5" ht="31.5" thickBot="1" x14ac:dyDescent="0.3">
      <c r="A682" s="49" t="s">
        <v>740</v>
      </c>
      <c r="B682" s="28" t="s">
        <v>741</v>
      </c>
      <c r="C682" s="29">
        <v>150</v>
      </c>
      <c r="D682" s="30"/>
      <c r="E682" s="31"/>
    </row>
    <row r="683" spans="1:5" ht="168.5" thickBot="1" x14ac:dyDescent="0.3">
      <c r="A683" s="49" t="s">
        <v>742</v>
      </c>
      <c r="B683" s="28" t="s">
        <v>743</v>
      </c>
      <c r="C683" s="29" t="s">
        <v>744</v>
      </c>
      <c r="D683" s="30"/>
      <c r="E683" s="31"/>
    </row>
    <row r="684" spans="1:5" ht="16" thickBot="1" x14ac:dyDescent="0.3">
      <c r="A684" s="49" t="s">
        <v>745</v>
      </c>
      <c r="B684" s="28" t="s">
        <v>746</v>
      </c>
      <c r="C684" s="29">
        <v>30</v>
      </c>
      <c r="D684" s="30"/>
      <c r="E684" s="31"/>
    </row>
    <row r="685" spans="1:5" ht="15.5" x14ac:dyDescent="0.25">
      <c r="A685" s="54" t="s">
        <v>747</v>
      </c>
      <c r="B685" s="43" t="s">
        <v>748</v>
      </c>
      <c r="C685" s="34">
        <v>60</v>
      </c>
      <c r="D685" s="35"/>
      <c r="E685" s="36"/>
    </row>
    <row r="686" spans="1:5" ht="16" thickBot="1" x14ac:dyDescent="0.3">
      <c r="A686" s="49" t="s">
        <v>749</v>
      </c>
      <c r="B686" s="28" t="s">
        <v>750</v>
      </c>
      <c r="C686" s="38">
        <v>30</v>
      </c>
      <c r="D686" s="39"/>
      <c r="E686" s="40"/>
    </row>
    <row r="687" spans="1:5" ht="16" thickBot="1" x14ac:dyDescent="0.3">
      <c r="A687" s="49" t="s">
        <v>751</v>
      </c>
      <c r="B687" s="28" t="s">
        <v>752</v>
      </c>
      <c r="C687" s="29">
        <v>80</v>
      </c>
      <c r="D687" s="30"/>
      <c r="E687" s="31"/>
    </row>
    <row r="688" spans="1:5" ht="14.5" customHeight="1" thickBot="1" x14ac:dyDescent="0.3">
      <c r="A688" s="49" t="s">
        <v>753</v>
      </c>
      <c r="B688" s="28" t="s">
        <v>754</v>
      </c>
      <c r="C688" s="29">
        <v>10</v>
      </c>
      <c r="D688" s="30"/>
      <c r="E688" s="31"/>
    </row>
    <row r="689" spans="1:5" ht="16" thickBot="1" x14ac:dyDescent="0.3">
      <c r="A689" s="49" t="s">
        <v>755</v>
      </c>
      <c r="B689" s="28" t="s">
        <v>756</v>
      </c>
      <c r="C689" s="29">
        <v>20</v>
      </c>
      <c r="D689" s="30"/>
      <c r="E689" s="31"/>
    </row>
    <row r="690" spans="1:5" ht="16" thickBot="1" x14ac:dyDescent="0.3">
      <c r="A690" s="49" t="s">
        <v>757</v>
      </c>
      <c r="B690" s="28" t="s">
        <v>758</v>
      </c>
      <c r="C690" s="29">
        <v>10</v>
      </c>
      <c r="D690" s="30"/>
      <c r="E690" s="31"/>
    </row>
    <row r="691" spans="1:5" ht="16" thickBot="1" x14ac:dyDescent="0.3">
      <c r="A691" s="49" t="s">
        <v>759</v>
      </c>
      <c r="B691" s="28" t="s">
        <v>760</v>
      </c>
      <c r="C691" s="29">
        <v>150</v>
      </c>
      <c r="D691" s="30"/>
      <c r="E691" s="31"/>
    </row>
    <row r="692" spans="1:5" ht="16" thickBot="1" x14ac:dyDescent="0.3">
      <c r="A692" s="49" t="s">
        <v>761</v>
      </c>
      <c r="B692" s="28" t="s">
        <v>762</v>
      </c>
      <c r="C692" s="29">
        <v>40</v>
      </c>
      <c r="D692" s="30"/>
      <c r="E692" s="31"/>
    </row>
    <row r="693" spans="1:5" ht="16" thickBot="1" x14ac:dyDescent="0.3">
      <c r="A693" s="49" t="s">
        <v>763</v>
      </c>
      <c r="B693" s="28" t="s">
        <v>764</v>
      </c>
      <c r="C693" s="29">
        <v>10</v>
      </c>
      <c r="D693" s="30"/>
      <c r="E693" s="31"/>
    </row>
    <row r="694" spans="1:5" ht="16" thickBot="1" x14ac:dyDescent="0.3">
      <c r="A694" s="49" t="s">
        <v>765</v>
      </c>
      <c r="B694" s="28" t="s">
        <v>766</v>
      </c>
      <c r="C694" s="29">
        <v>30</v>
      </c>
      <c r="D694" s="30"/>
      <c r="E694" s="31"/>
    </row>
    <row r="695" spans="1:5" ht="16" thickBot="1" x14ac:dyDescent="0.3">
      <c r="A695" s="49" t="s">
        <v>767</v>
      </c>
      <c r="B695" s="28" t="s">
        <v>768</v>
      </c>
      <c r="C695" s="29">
        <v>70</v>
      </c>
      <c r="D695" s="30"/>
      <c r="E695" s="31"/>
    </row>
    <row r="696" spans="1:5" ht="31.5" thickBot="1" x14ac:dyDescent="0.3">
      <c r="A696" s="49" t="s">
        <v>769</v>
      </c>
      <c r="B696" s="28" t="s">
        <v>770</v>
      </c>
      <c r="C696" s="29" t="s">
        <v>771</v>
      </c>
      <c r="D696" s="30"/>
      <c r="E696" s="31"/>
    </row>
    <row r="697" spans="1:5" ht="16" thickBot="1" x14ac:dyDescent="0.3">
      <c r="A697" s="49" t="s">
        <v>772</v>
      </c>
      <c r="B697" s="28" t="s">
        <v>773</v>
      </c>
      <c r="C697" s="29">
        <v>250</v>
      </c>
      <c r="D697" s="30"/>
      <c r="E697" s="31"/>
    </row>
    <row r="698" spans="1:5" ht="16" thickBot="1" x14ac:dyDescent="0.3">
      <c r="A698" s="49" t="s">
        <v>774</v>
      </c>
      <c r="B698" s="28" t="s">
        <v>775</v>
      </c>
      <c r="C698" s="29">
        <v>300</v>
      </c>
      <c r="D698" s="30"/>
      <c r="E698" s="31"/>
    </row>
    <row r="699" spans="1:5" ht="16" thickBot="1" x14ac:dyDescent="0.3">
      <c r="A699" s="49" t="s">
        <v>776</v>
      </c>
      <c r="B699" s="28" t="s">
        <v>777</v>
      </c>
      <c r="C699" s="29">
        <v>270</v>
      </c>
      <c r="D699" s="30"/>
      <c r="E699" s="31"/>
    </row>
    <row r="700" spans="1:5" ht="16" thickBot="1" x14ac:dyDescent="0.3">
      <c r="A700" s="49" t="s">
        <v>778</v>
      </c>
      <c r="B700" s="28" t="s">
        <v>779</v>
      </c>
      <c r="C700" s="29"/>
      <c r="D700" s="30"/>
      <c r="E700" s="31"/>
    </row>
    <row r="701" spans="1:5" ht="16" thickBot="1" x14ac:dyDescent="0.3">
      <c r="A701" s="23">
        <v>45673</v>
      </c>
      <c r="B701" s="28" t="s">
        <v>780</v>
      </c>
      <c r="C701" s="29">
        <v>2</v>
      </c>
      <c r="D701" s="30"/>
      <c r="E701" s="31"/>
    </row>
    <row r="702" spans="1:5" ht="16" thickBot="1" x14ac:dyDescent="0.3">
      <c r="A702" s="23">
        <v>45704</v>
      </c>
      <c r="B702" s="28" t="e">
        <f>- s poškozením nehtového lůžka</f>
        <v>#NAME?</v>
      </c>
      <c r="C702" s="29">
        <v>5</v>
      </c>
      <c r="D702" s="30"/>
      <c r="E702" s="31"/>
    </row>
    <row r="703" spans="1:5" ht="31.5" thickBot="1" x14ac:dyDescent="0.3">
      <c r="A703" s="23">
        <v>45732</v>
      </c>
      <c r="B703" s="28" t="s">
        <v>781</v>
      </c>
      <c r="C703" s="29">
        <v>50</v>
      </c>
      <c r="D703" s="30"/>
      <c r="E703" s="31"/>
    </row>
    <row r="704" spans="1:5" ht="16" thickBot="1" x14ac:dyDescent="0.3">
      <c r="A704" s="23">
        <v>45763</v>
      </c>
      <c r="B704" s="28" t="e">
        <f>- bez porušení statiky ( Bohlerova úhlu)</f>
        <v>#NAME?</v>
      </c>
      <c r="C704" s="29">
        <v>100</v>
      </c>
      <c r="D704" s="30"/>
      <c r="E704" s="31"/>
    </row>
    <row r="705" spans="1:5" ht="16" thickBot="1" x14ac:dyDescent="0.3">
      <c r="A705" s="23">
        <v>45793</v>
      </c>
      <c r="B705" s="24" t="e">
        <f>- s porušením statiky</f>
        <v>#NAME?</v>
      </c>
      <c r="C705" s="25">
        <v>150</v>
      </c>
      <c r="D705" s="26"/>
      <c r="E705" s="27"/>
    </row>
    <row r="706" spans="1:5" ht="16" thickBot="1" x14ac:dyDescent="0.3">
      <c r="A706" s="23">
        <v>45824</v>
      </c>
      <c r="B706" s="28" t="s">
        <v>782</v>
      </c>
      <c r="C706" s="29">
        <v>60</v>
      </c>
      <c r="D706" s="30"/>
      <c r="E706" s="31"/>
    </row>
    <row r="707" spans="1:5" ht="16" thickBot="1" x14ac:dyDescent="0.3">
      <c r="A707" s="23">
        <v>45854</v>
      </c>
      <c r="B707" s="28" t="e">
        <f>- s posunem</f>
        <v>#NAME?</v>
      </c>
      <c r="C707" s="29">
        <v>100</v>
      </c>
      <c r="D707" s="30"/>
      <c r="E707" s="31"/>
    </row>
    <row r="708" spans="1:5" ht="16" thickBot="1" x14ac:dyDescent="0.3">
      <c r="A708" s="23">
        <v>45885</v>
      </c>
      <c r="B708" s="28" t="e">
        <f>- tříštivá</f>
        <v>#NAME?</v>
      </c>
      <c r="C708" s="29">
        <v>150</v>
      </c>
      <c r="D708" s="30"/>
      <c r="E708" s="31"/>
    </row>
    <row r="709" spans="1:5" ht="16" thickBot="1" x14ac:dyDescent="0.3">
      <c r="A709" s="23">
        <v>45916</v>
      </c>
      <c r="B709" s="28" t="s">
        <v>783</v>
      </c>
      <c r="C709" s="29">
        <v>35</v>
      </c>
      <c r="D709" s="30"/>
      <c r="E709" s="31"/>
    </row>
    <row r="710" spans="1:5" ht="16" thickBot="1" x14ac:dyDescent="0.3">
      <c r="A710" s="23">
        <v>45946</v>
      </c>
      <c r="B710" s="28" t="e">
        <f>- s posunem</f>
        <v>#NAME?</v>
      </c>
      <c r="C710" s="29">
        <v>60</v>
      </c>
      <c r="D710" s="30"/>
      <c r="E710" s="31"/>
    </row>
    <row r="711" spans="1:5" ht="16" thickBot="1" x14ac:dyDescent="0.3">
      <c r="A711" s="23">
        <v>45977</v>
      </c>
      <c r="B711" s="28" t="s">
        <v>784</v>
      </c>
      <c r="C711" s="29">
        <v>120</v>
      </c>
      <c r="D711" s="30"/>
      <c r="E711" s="31"/>
    </row>
    <row r="712" spans="1:5" ht="16" thickBot="1" x14ac:dyDescent="0.3">
      <c r="A712" s="23">
        <v>46007</v>
      </c>
      <c r="B712" s="28" t="s">
        <v>785</v>
      </c>
      <c r="C712" s="29">
        <v>30</v>
      </c>
      <c r="D712" s="30"/>
      <c r="E712" s="31"/>
    </row>
    <row r="713" spans="1:5" ht="16" thickBot="1" x14ac:dyDescent="0.3">
      <c r="A713" s="23" t="s">
        <v>786</v>
      </c>
      <c r="B713" s="28" t="s">
        <v>498</v>
      </c>
      <c r="C713" s="29">
        <v>50</v>
      </c>
      <c r="D713" s="30"/>
      <c r="E713" s="31"/>
    </row>
    <row r="714" spans="1:5" ht="16" thickBot="1" x14ac:dyDescent="0.3">
      <c r="A714" s="23" t="s">
        <v>787</v>
      </c>
      <c r="B714" s="28" t="s">
        <v>788</v>
      </c>
      <c r="C714" s="29">
        <v>30</v>
      </c>
      <c r="D714" s="30"/>
      <c r="E714" s="31"/>
    </row>
    <row r="715" spans="1:5" ht="16" thickBot="1" x14ac:dyDescent="0.3">
      <c r="A715" s="23" t="s">
        <v>789</v>
      </c>
      <c r="B715" s="28" t="s">
        <v>498</v>
      </c>
      <c r="C715" s="29">
        <v>50</v>
      </c>
      <c r="D715" s="30"/>
      <c r="E715" s="31"/>
    </row>
    <row r="716" spans="1:5" ht="16" thickBot="1" x14ac:dyDescent="0.3">
      <c r="A716" s="23" t="s">
        <v>790</v>
      </c>
      <c r="B716" s="28" t="s">
        <v>791</v>
      </c>
      <c r="C716" s="29">
        <v>15</v>
      </c>
      <c r="D716" s="30"/>
      <c r="E716" s="31"/>
    </row>
    <row r="717" spans="1:5" ht="16" thickBot="1" x14ac:dyDescent="0.3">
      <c r="A717" s="23" t="s">
        <v>792</v>
      </c>
      <c r="B717" s="28" t="s">
        <v>793</v>
      </c>
      <c r="C717" s="29">
        <v>30</v>
      </c>
      <c r="D717" s="30"/>
      <c r="E717" s="31"/>
    </row>
    <row r="718" spans="1:5" ht="16" thickBot="1" x14ac:dyDescent="0.3">
      <c r="A718" s="23" t="s">
        <v>794</v>
      </c>
      <c r="B718" s="28" t="e">
        <f>- Chopartova kloubu</f>
        <v>#NAME?</v>
      </c>
      <c r="C718" s="29">
        <v>20</v>
      </c>
      <c r="D718" s="30"/>
      <c r="E718" s="31"/>
    </row>
    <row r="719" spans="1:5" ht="16" thickBot="1" x14ac:dyDescent="0.3">
      <c r="A719" s="23" t="s">
        <v>795</v>
      </c>
      <c r="B719" s="28" t="e">
        <f>- Lisfrankova kloubu</f>
        <v>#NAME?</v>
      </c>
      <c r="C719" s="29">
        <v>20</v>
      </c>
      <c r="D719" s="30"/>
      <c r="E719" s="31"/>
    </row>
    <row r="720" spans="1:5" ht="16" thickBot="1" x14ac:dyDescent="0.3">
      <c r="A720" s="23" t="s">
        <v>796</v>
      </c>
      <c r="B720" s="28" t="e">
        <f>- základního nebo mezičlánkového kloubu palce</f>
        <v>#NAME?</v>
      </c>
      <c r="C720" s="29">
        <v>5</v>
      </c>
      <c r="D720" s="30"/>
      <c r="E720" s="31"/>
    </row>
    <row r="721" spans="1:5" ht="16" thickBot="1" x14ac:dyDescent="0.3">
      <c r="A721" s="23" t="s">
        <v>797</v>
      </c>
      <c r="B721" s="28" t="e">
        <f>-jednoho nebo více prstů nohy</f>
        <v>#NAME?</v>
      </c>
      <c r="C721" s="29">
        <v>3</v>
      </c>
      <c r="D721" s="30"/>
      <c r="E721" s="31"/>
    </row>
    <row r="722" spans="1:5" ht="16" thickBot="1" x14ac:dyDescent="0.3">
      <c r="A722" s="23" t="s">
        <v>798</v>
      </c>
      <c r="B722" s="28" t="s">
        <v>799</v>
      </c>
      <c r="C722" s="29">
        <v>100</v>
      </c>
      <c r="D722" s="30"/>
      <c r="E722" s="31"/>
    </row>
    <row r="723" spans="1:5" ht="16" thickBot="1" x14ac:dyDescent="0.3">
      <c r="A723" s="23" t="s">
        <v>800</v>
      </c>
      <c r="B723" s="28" t="s">
        <v>801</v>
      </c>
      <c r="C723" s="29">
        <v>90</v>
      </c>
      <c r="D723" s="30"/>
      <c r="E723" s="31"/>
    </row>
    <row r="724" spans="1:5" ht="16" thickBot="1" x14ac:dyDescent="0.3">
      <c r="A724" s="23" t="s">
        <v>802</v>
      </c>
      <c r="B724" s="28" t="s">
        <v>803</v>
      </c>
      <c r="C724" s="29">
        <v>80</v>
      </c>
      <c r="D724" s="30"/>
      <c r="E724" s="31"/>
    </row>
    <row r="725" spans="1:5" ht="16" thickBot="1" x14ac:dyDescent="0.3">
      <c r="A725" s="49" t="s">
        <v>804</v>
      </c>
      <c r="B725" s="28" t="s">
        <v>805</v>
      </c>
      <c r="C725" s="29">
        <v>20</v>
      </c>
      <c r="D725" s="30"/>
      <c r="E725" s="31"/>
    </row>
    <row r="726" spans="1:5" ht="16" thickBot="1" x14ac:dyDescent="0.3">
      <c r="A726" s="49" t="s">
        <v>806</v>
      </c>
      <c r="B726" s="28" t="s">
        <v>807</v>
      </c>
      <c r="C726" s="29">
        <v>15</v>
      </c>
      <c r="D726" s="30"/>
      <c r="E726" s="31"/>
    </row>
    <row r="727" spans="1:5" ht="16" thickBot="1" x14ac:dyDescent="0.3">
      <c r="A727" s="49" t="s">
        <v>808</v>
      </c>
      <c r="B727" s="28" t="s">
        <v>809</v>
      </c>
      <c r="C727" s="29">
        <v>70</v>
      </c>
      <c r="D727" s="30"/>
      <c r="E727" s="31"/>
    </row>
    <row r="728" spans="1:5" ht="31.5" thickBot="1" x14ac:dyDescent="0.3">
      <c r="A728" s="49" t="s">
        <v>810</v>
      </c>
      <c r="B728" s="28" t="s">
        <v>811</v>
      </c>
      <c r="C728" s="29">
        <v>30</v>
      </c>
      <c r="D728" s="30"/>
      <c r="E728" s="31"/>
    </row>
    <row r="729" spans="1:5" ht="31.5" thickBot="1" x14ac:dyDescent="0.3">
      <c r="A729" s="49" t="s">
        <v>812</v>
      </c>
      <c r="B729" s="28" t="s">
        <v>813</v>
      </c>
      <c r="C729" s="29">
        <v>20</v>
      </c>
      <c r="D729" s="30"/>
      <c r="E729" s="31"/>
    </row>
    <row r="730" spans="1:5" ht="16" thickBot="1" x14ac:dyDescent="0.3">
      <c r="A730" s="49" t="s">
        <v>814</v>
      </c>
      <c r="B730" s="28" t="s">
        <v>815</v>
      </c>
      <c r="C730" s="29">
        <v>10</v>
      </c>
      <c r="D730" s="30"/>
      <c r="E730" s="31"/>
    </row>
    <row r="731" spans="1:5" ht="16" thickBot="1" x14ac:dyDescent="0.3">
      <c r="A731" s="49" t="s">
        <v>816</v>
      </c>
      <c r="B731" s="28" t="s">
        <v>817</v>
      </c>
      <c r="C731" s="29">
        <v>5</v>
      </c>
      <c r="D731" s="30"/>
      <c r="E731" s="31"/>
    </row>
    <row r="732" spans="1:5" ht="16" thickBot="1" x14ac:dyDescent="0.3">
      <c r="A732" s="49" t="s">
        <v>818</v>
      </c>
      <c r="B732" s="28" t="s">
        <v>819</v>
      </c>
      <c r="C732" s="29">
        <v>3</v>
      </c>
      <c r="D732" s="30"/>
      <c r="E732" s="31"/>
    </row>
    <row r="733" spans="1:5" ht="16" thickBot="1" x14ac:dyDescent="0.3">
      <c r="A733" s="49" t="s">
        <v>820</v>
      </c>
      <c r="B733" s="28" t="s">
        <v>821</v>
      </c>
      <c r="C733" s="29">
        <v>40</v>
      </c>
      <c r="D733" s="30"/>
      <c r="E733" s="31"/>
    </row>
    <row r="734" spans="1:5" ht="16" thickBot="1" x14ac:dyDescent="0.3">
      <c r="A734" s="49" t="s">
        <v>822</v>
      </c>
      <c r="B734" s="28" t="s">
        <v>823</v>
      </c>
      <c r="C734" s="29" t="s">
        <v>824</v>
      </c>
      <c r="D734" s="30"/>
      <c r="E734" s="31"/>
    </row>
    <row r="735" spans="1:5" ht="16" thickBot="1" x14ac:dyDescent="0.3">
      <c r="A735" s="49" t="s">
        <v>825</v>
      </c>
      <c r="B735" s="28" t="s">
        <v>826</v>
      </c>
      <c r="C735" s="29">
        <v>40</v>
      </c>
      <c r="D735" s="30"/>
      <c r="E735" s="31"/>
    </row>
    <row r="736" spans="1:5" ht="16" thickBot="1" x14ac:dyDescent="0.3">
      <c r="A736" s="49" t="s">
        <v>827</v>
      </c>
      <c r="B736" s="28" t="s">
        <v>828</v>
      </c>
      <c r="C736" s="29">
        <v>180</v>
      </c>
      <c r="D736" s="30"/>
      <c r="E736" s="31"/>
    </row>
    <row r="737" spans="1:5" ht="16" thickBot="1" x14ac:dyDescent="0.3">
      <c r="A737" s="49" t="s">
        <v>829</v>
      </c>
      <c r="B737" s="28" t="s">
        <v>830</v>
      </c>
      <c r="C737" s="29">
        <v>160</v>
      </c>
      <c r="D737" s="30"/>
      <c r="E737" s="31"/>
    </row>
    <row r="738" spans="1:5" ht="16" thickBot="1" x14ac:dyDescent="0.3">
      <c r="A738" s="49" t="s">
        <v>831</v>
      </c>
      <c r="B738" s="28" t="s">
        <v>832</v>
      </c>
      <c r="C738" s="29">
        <v>20</v>
      </c>
      <c r="D738" s="30"/>
      <c r="E738" s="31"/>
    </row>
    <row r="739" spans="1:5" ht="16" thickBot="1" x14ac:dyDescent="0.3">
      <c r="A739" s="49" t="s">
        <v>833</v>
      </c>
      <c r="B739" s="28" t="s">
        <v>834</v>
      </c>
      <c r="C739" s="29">
        <v>50</v>
      </c>
      <c r="D739" s="30"/>
      <c r="E739" s="31"/>
    </row>
    <row r="740" spans="1:5" ht="16" thickBot="1" x14ac:dyDescent="0.3">
      <c r="A740" s="49" t="s">
        <v>835</v>
      </c>
      <c r="B740" s="28" t="s">
        <v>836</v>
      </c>
      <c r="C740" s="29"/>
      <c r="D740" s="30"/>
      <c r="E740" s="31"/>
    </row>
    <row r="741" spans="1:5" ht="16" thickBot="1" x14ac:dyDescent="0.3">
      <c r="A741" s="23">
        <v>45674</v>
      </c>
      <c r="B741" s="28" t="s">
        <v>837</v>
      </c>
      <c r="C741" s="29">
        <v>5</v>
      </c>
      <c r="D741" s="30"/>
      <c r="E741" s="31"/>
    </row>
    <row r="742" spans="1:5" ht="28.5" thickBot="1" x14ac:dyDescent="0.3">
      <c r="A742" s="23">
        <v>45705</v>
      </c>
      <c r="B742" s="28" t="s">
        <v>838</v>
      </c>
      <c r="C742" s="29" t="s">
        <v>839</v>
      </c>
      <c r="D742" s="30"/>
      <c r="E742" s="31"/>
    </row>
    <row r="743" spans="1:5" ht="31.5" thickBot="1" x14ac:dyDescent="0.3">
      <c r="A743" s="23">
        <v>45733</v>
      </c>
      <c r="B743" s="28" t="s">
        <v>840</v>
      </c>
      <c r="C743" s="29">
        <v>20</v>
      </c>
      <c r="D743" s="30"/>
      <c r="E743" s="31"/>
    </row>
    <row r="744" spans="1:5" ht="31.5" thickBot="1" x14ac:dyDescent="0.3">
      <c r="A744" s="23">
        <v>45764</v>
      </c>
      <c r="B744" s="28" t="s">
        <v>841</v>
      </c>
      <c r="C744" s="29">
        <v>60</v>
      </c>
      <c r="D744" s="30"/>
      <c r="E744" s="31"/>
    </row>
    <row r="745" spans="1:5" ht="31.5" thickBot="1" x14ac:dyDescent="0.3">
      <c r="A745" s="23">
        <v>45794</v>
      </c>
      <c r="B745" s="24" t="s">
        <v>842</v>
      </c>
      <c r="C745" s="25">
        <v>120</v>
      </c>
      <c r="D745" s="26"/>
      <c r="E745" s="27"/>
    </row>
    <row r="746" spans="1:5" ht="16" thickBot="1" x14ac:dyDescent="0.3">
      <c r="A746" s="23">
        <v>45825</v>
      </c>
      <c r="B746" s="28" t="s">
        <v>843</v>
      </c>
      <c r="C746" s="29" t="s">
        <v>844</v>
      </c>
      <c r="D746" s="30"/>
      <c r="E746" s="31"/>
    </row>
    <row r="747" spans="1:5" ht="14.5" customHeight="1" thickBot="1" x14ac:dyDescent="0.3">
      <c r="A747" s="23" t="s">
        <v>845</v>
      </c>
      <c r="B747" s="28" t="s">
        <v>846</v>
      </c>
      <c r="C747" s="29"/>
      <c r="D747" s="30"/>
      <c r="E747" s="31"/>
    </row>
    <row r="748" spans="1:5" ht="16" thickBot="1" x14ac:dyDescent="0.3">
      <c r="A748" s="23">
        <v>45675</v>
      </c>
      <c r="B748" s="28" t="s">
        <v>847</v>
      </c>
      <c r="C748" s="29" t="s">
        <v>848</v>
      </c>
      <c r="D748" s="30"/>
      <c r="E748" s="31"/>
    </row>
    <row r="749" spans="1:5" ht="16" thickBot="1" x14ac:dyDescent="0.3">
      <c r="A749" s="23">
        <v>45706</v>
      </c>
      <c r="B749" s="28" t="s">
        <v>849</v>
      </c>
      <c r="C749" s="29">
        <v>150</v>
      </c>
      <c r="D749" s="30"/>
      <c r="E749" s="31"/>
    </row>
    <row r="750" spans="1:5" ht="16" thickBot="1" x14ac:dyDescent="0.3">
      <c r="A750" s="23">
        <v>45734</v>
      </c>
      <c r="B750" s="28" t="e">
        <f>- těžkého stupně</f>
        <v>#NAME?</v>
      </c>
      <c r="C750" s="29">
        <v>400</v>
      </c>
      <c r="D750" s="30"/>
      <c r="E750" s="31"/>
    </row>
    <row r="751" spans="1:5" ht="28.5" thickBot="1" x14ac:dyDescent="0.3">
      <c r="A751" s="23">
        <v>45765</v>
      </c>
      <c r="B751" s="28" t="s">
        <v>850</v>
      </c>
      <c r="C751" s="29" t="s">
        <v>851</v>
      </c>
      <c r="D751" s="30"/>
      <c r="E751" s="31"/>
    </row>
    <row r="752" spans="1:5" ht="16" thickBot="1" x14ac:dyDescent="0.3">
      <c r="A752" s="23">
        <v>45795</v>
      </c>
      <c r="B752" s="24" t="s">
        <v>852</v>
      </c>
      <c r="C752" s="25">
        <v>200</v>
      </c>
      <c r="D752" s="26"/>
      <c r="E752" s="27"/>
    </row>
    <row r="753" spans="1:5" ht="28.5" thickBot="1" x14ac:dyDescent="0.3">
      <c r="A753" s="23">
        <v>45826</v>
      </c>
      <c r="B753" s="28" t="s">
        <v>853</v>
      </c>
      <c r="C753" s="29" t="s">
        <v>854</v>
      </c>
      <c r="D753" s="30"/>
      <c r="E753" s="31"/>
    </row>
    <row r="754" spans="1:5" ht="31.5" thickBot="1" x14ac:dyDescent="0.3">
      <c r="A754" s="23"/>
      <c r="B754" s="28" t="s">
        <v>855</v>
      </c>
      <c r="C754" s="29" t="s">
        <v>856</v>
      </c>
      <c r="D754" s="30" t="s">
        <v>857</v>
      </c>
      <c r="E754" s="31" t="s">
        <v>858</v>
      </c>
    </row>
    <row r="755" spans="1:5" ht="16" thickBot="1" x14ac:dyDescent="0.3">
      <c r="A755" s="23">
        <v>45856</v>
      </c>
      <c r="B755" s="28" t="s">
        <v>859</v>
      </c>
      <c r="C755" s="29">
        <v>0</v>
      </c>
      <c r="D755" s="30">
        <v>5</v>
      </c>
      <c r="E755" s="31">
        <v>15</v>
      </c>
    </row>
    <row r="756" spans="1:5" ht="14.5" customHeight="1" thickBot="1" x14ac:dyDescent="0.3">
      <c r="A756" s="23">
        <v>45887</v>
      </c>
      <c r="B756" s="28" t="s">
        <v>860</v>
      </c>
      <c r="C756" s="29">
        <v>5</v>
      </c>
      <c r="D756" s="30">
        <v>10</v>
      </c>
      <c r="E756" s="31">
        <v>75</v>
      </c>
    </row>
    <row r="757" spans="1:5" ht="16" thickBot="1" x14ac:dyDescent="0.3">
      <c r="A757" s="23">
        <v>45918</v>
      </c>
      <c r="B757" s="28" t="s">
        <v>861</v>
      </c>
      <c r="C757" s="29">
        <v>25</v>
      </c>
      <c r="D757" s="30">
        <v>50</v>
      </c>
      <c r="E757" s="31">
        <v>150</v>
      </c>
    </row>
    <row r="758" spans="1:5" ht="14.5" customHeight="1" thickBot="1" x14ac:dyDescent="0.3">
      <c r="A758" s="23">
        <v>45948</v>
      </c>
      <c r="B758" s="28" t="s">
        <v>862</v>
      </c>
      <c r="C758" s="29">
        <v>50</v>
      </c>
      <c r="D758" s="30">
        <v>100</v>
      </c>
      <c r="E758" s="31">
        <v>300</v>
      </c>
    </row>
    <row r="759" spans="1:5" ht="16" thickBot="1" x14ac:dyDescent="0.3">
      <c r="A759" s="44">
        <v>45979</v>
      </c>
      <c r="B759" s="24" t="s">
        <v>863</v>
      </c>
      <c r="C759" s="40">
        <v>100</v>
      </c>
      <c r="D759" s="40">
        <v>200</v>
      </c>
      <c r="E759" s="40">
        <v>600</v>
      </c>
    </row>
    <row r="760" spans="1:5" ht="16" thickBot="1" x14ac:dyDescent="0.3">
      <c r="A760" s="23">
        <v>46009</v>
      </c>
      <c r="B760" s="28" t="s">
        <v>864</v>
      </c>
      <c r="C760" s="40">
        <v>150</v>
      </c>
      <c r="D760" s="40">
        <v>300</v>
      </c>
      <c r="E760" s="40">
        <v>900</v>
      </c>
    </row>
    <row r="761" spans="1:5" ht="16" thickBot="1" x14ac:dyDescent="0.3">
      <c r="A761" s="23" t="s">
        <v>865</v>
      </c>
      <c r="B761" s="28" t="s">
        <v>866</v>
      </c>
      <c r="C761" s="40">
        <v>200</v>
      </c>
      <c r="D761" s="40">
        <v>400</v>
      </c>
      <c r="E761" s="40">
        <v>1200</v>
      </c>
    </row>
    <row r="762" spans="1:5" ht="16" thickBot="1" x14ac:dyDescent="0.3">
      <c r="A762" s="23" t="s">
        <v>867</v>
      </c>
      <c r="B762" s="28" t="s">
        <v>868</v>
      </c>
      <c r="C762" s="40">
        <v>250</v>
      </c>
      <c r="D762" s="40">
        <v>500</v>
      </c>
      <c r="E762" s="40">
        <v>1500</v>
      </c>
    </row>
    <row r="763" spans="1:5" ht="16" thickBot="1" x14ac:dyDescent="0.3">
      <c r="A763" s="23" t="s">
        <v>869</v>
      </c>
      <c r="B763" s="28" t="s">
        <v>870</v>
      </c>
      <c r="C763" s="40">
        <v>300</v>
      </c>
      <c r="D763" s="40">
        <v>600</v>
      </c>
      <c r="E763" s="40">
        <v>1800</v>
      </c>
    </row>
    <row r="764" spans="1:5" ht="16" thickBot="1" x14ac:dyDescent="0.3">
      <c r="A764" s="23" t="s">
        <v>871</v>
      </c>
      <c r="B764" s="28" t="s">
        <v>872</v>
      </c>
      <c r="C764" s="40">
        <v>350</v>
      </c>
      <c r="D764" s="40">
        <v>700</v>
      </c>
      <c r="E764" s="40">
        <v>2100</v>
      </c>
    </row>
    <row r="765" spans="1:5" ht="16" thickBot="1" x14ac:dyDescent="0.3">
      <c r="A765" s="23" t="s">
        <v>873</v>
      </c>
      <c r="B765" s="28" t="s">
        <v>874</v>
      </c>
      <c r="C765" s="40">
        <v>400</v>
      </c>
      <c r="D765" s="40">
        <v>800</v>
      </c>
      <c r="E765" s="40">
        <v>2400</v>
      </c>
    </row>
    <row r="766" spans="1:5" ht="31.5" thickBot="1" x14ac:dyDescent="0.3">
      <c r="A766" s="49" t="s">
        <v>875</v>
      </c>
      <c r="B766" s="28" t="s">
        <v>876</v>
      </c>
      <c r="C766" s="55">
        <v>11232</v>
      </c>
      <c r="D766" s="40"/>
      <c r="E766" s="40"/>
    </row>
    <row r="767" spans="1:5" ht="16" thickBot="1" x14ac:dyDescent="0.3">
      <c r="A767" s="49" t="s">
        <v>877</v>
      </c>
      <c r="B767" s="28" t="s">
        <v>878</v>
      </c>
      <c r="C767" s="40"/>
      <c r="D767" s="40"/>
      <c r="E767" s="40"/>
    </row>
    <row r="768" spans="1:5" ht="16" thickBot="1" x14ac:dyDescent="0.3">
      <c r="A768" s="23">
        <v>45677</v>
      </c>
      <c r="B768" s="28" t="s">
        <v>879</v>
      </c>
      <c r="C768" s="40">
        <v>15</v>
      </c>
      <c r="D768" s="40"/>
      <c r="E768" s="40"/>
    </row>
    <row r="769" spans="1:5" ht="31.5" thickBot="1" x14ac:dyDescent="0.3">
      <c r="A769" s="23">
        <v>45708</v>
      </c>
      <c r="B769" s="28" t="s">
        <v>880</v>
      </c>
      <c r="C769" s="40">
        <v>35</v>
      </c>
      <c r="D769" s="40"/>
      <c r="E769" s="40"/>
    </row>
    <row r="770" spans="1:5" ht="16" thickBot="1" x14ac:dyDescent="0.3">
      <c r="A770" s="23">
        <v>45736</v>
      </c>
      <c r="B770" s="28" t="s">
        <v>881</v>
      </c>
      <c r="C770" s="40">
        <v>35</v>
      </c>
      <c r="D770" s="40"/>
      <c r="E770" s="40"/>
    </row>
    <row r="771" spans="1:5" ht="16" thickBot="1" x14ac:dyDescent="0.3">
      <c r="A771" s="23">
        <v>45767</v>
      </c>
      <c r="B771" s="24" t="s">
        <v>882</v>
      </c>
      <c r="C771" s="45">
        <v>35</v>
      </c>
      <c r="D771" s="46"/>
      <c r="E771" s="47"/>
    </row>
    <row r="772" spans="1:5" ht="16" thickBot="1" x14ac:dyDescent="0.3">
      <c r="A772" s="23">
        <v>45797</v>
      </c>
      <c r="B772" s="24" t="s">
        <v>883</v>
      </c>
      <c r="C772" s="25">
        <v>15</v>
      </c>
      <c r="D772" s="26"/>
      <c r="E772" s="27"/>
    </row>
    <row r="773" spans="1:5" ht="16" thickBot="1" x14ac:dyDescent="0.3">
      <c r="A773" s="23" t="s">
        <v>884</v>
      </c>
      <c r="B773" s="28" t="s">
        <v>885</v>
      </c>
      <c r="C773" s="29"/>
      <c r="D773" s="30"/>
      <c r="E773" s="31"/>
    </row>
    <row r="774" spans="1:5" ht="16" thickBot="1" x14ac:dyDescent="0.3">
      <c r="A774" s="23">
        <v>45678</v>
      </c>
      <c r="B774" s="28" t="s">
        <v>886</v>
      </c>
      <c r="C774" s="29">
        <v>200</v>
      </c>
      <c r="D774" s="30"/>
      <c r="E774" s="31"/>
    </row>
    <row r="775" spans="1:5" ht="16" thickBot="1" x14ac:dyDescent="0.3">
      <c r="A775" s="23">
        <v>45709</v>
      </c>
      <c r="B775" s="28" t="s">
        <v>887</v>
      </c>
      <c r="C775" s="29">
        <v>200</v>
      </c>
      <c r="D775" s="30"/>
      <c r="E775" s="31"/>
    </row>
    <row r="776" spans="1:5" ht="16" thickBot="1" x14ac:dyDescent="0.3">
      <c r="A776" s="23">
        <v>45737</v>
      </c>
      <c r="B776" s="28" t="s">
        <v>888</v>
      </c>
      <c r="C776" s="29" t="s">
        <v>844</v>
      </c>
      <c r="D776" s="30"/>
      <c r="E776" s="31"/>
    </row>
    <row r="777" spans="1:5" ht="16" thickBot="1" x14ac:dyDescent="0.3">
      <c r="A777" s="23">
        <v>45768</v>
      </c>
      <c r="B777" s="28" t="s">
        <v>889</v>
      </c>
      <c r="C777" s="29">
        <v>100</v>
      </c>
      <c r="D777" s="30"/>
      <c r="E777" s="31"/>
    </row>
    <row r="778" spans="1:5" ht="16" thickBot="1" x14ac:dyDescent="0.3">
      <c r="A778" s="23">
        <v>45798</v>
      </c>
      <c r="B778" s="24" t="s">
        <v>890</v>
      </c>
      <c r="C778" s="25">
        <v>100</v>
      </c>
      <c r="D778" s="26"/>
      <c r="E778" s="27"/>
    </row>
    <row r="779" spans="1:5" ht="16" thickBot="1" x14ac:dyDescent="0.3">
      <c r="A779" s="23">
        <v>45829</v>
      </c>
      <c r="B779" s="28" t="s">
        <v>891</v>
      </c>
      <c r="C779" s="29">
        <v>250</v>
      </c>
      <c r="D779" s="30"/>
      <c r="E779" s="31"/>
    </row>
    <row r="780" spans="1:5" ht="31.5" thickBot="1" x14ac:dyDescent="0.3">
      <c r="A780" s="23" t="s">
        <v>892</v>
      </c>
      <c r="B780" s="28" t="s">
        <v>893</v>
      </c>
      <c r="C780" s="29" t="s">
        <v>894</v>
      </c>
      <c r="D780" s="30"/>
      <c r="E780" s="31"/>
    </row>
    <row r="781" spans="1:5" ht="16" thickBot="1" x14ac:dyDescent="0.3">
      <c r="A781" s="23" t="s">
        <v>895</v>
      </c>
      <c r="B781" s="28"/>
      <c r="C781" s="29"/>
      <c r="D781" s="30"/>
      <c r="E781" s="31"/>
    </row>
    <row r="782" spans="1:5" ht="16" thickBot="1" x14ac:dyDescent="0.3">
      <c r="A782" s="23" t="s">
        <v>896</v>
      </c>
      <c r="B782" s="28"/>
      <c r="C782" s="29"/>
      <c r="D782" s="30"/>
      <c r="E782" s="31"/>
    </row>
    <row r="783" spans="1:5" ht="28.5" thickBot="1" x14ac:dyDescent="0.3">
      <c r="A783" s="23" t="s">
        <v>86</v>
      </c>
      <c r="B783" s="28"/>
      <c r="C783" s="29" t="s">
        <v>87</v>
      </c>
      <c r="D783" s="30"/>
      <c r="E783" s="31" t="s">
        <v>88</v>
      </c>
    </row>
    <row r="784" spans="1:5" ht="31.5" thickBot="1" x14ac:dyDescent="0.3">
      <c r="A784" s="23" t="s">
        <v>89</v>
      </c>
      <c r="B784" s="28" t="s">
        <v>897</v>
      </c>
      <c r="C784" s="29"/>
      <c r="D784" s="30"/>
      <c r="E784" s="31"/>
    </row>
    <row r="785" spans="1:5" ht="140.5" thickBot="1" x14ac:dyDescent="0.3">
      <c r="A785" s="41">
        <v>21186</v>
      </c>
      <c r="B785" s="24"/>
      <c r="C785" s="29" t="s">
        <v>898</v>
      </c>
      <c r="D785" s="30"/>
      <c r="E785" s="31"/>
    </row>
    <row r="786" spans="1:5" ht="176" x14ac:dyDescent="0.35">
      <c r="A786" s="7" t="s">
        <v>899</v>
      </c>
      <c r="B786" s="56"/>
      <c r="C786" s="57" t="s">
        <v>900</v>
      </c>
      <c r="D786" s="57"/>
      <c r="E786" s="57" t="s">
        <v>901</v>
      </c>
    </row>
    <row r="787" spans="1:5" ht="164" thickBot="1" x14ac:dyDescent="0.4">
      <c r="A787" s="10" t="s">
        <v>902</v>
      </c>
      <c r="B787" s="56"/>
      <c r="C787" s="57" t="s">
        <v>903</v>
      </c>
      <c r="D787" s="57"/>
      <c r="E787" s="57" t="s">
        <v>904</v>
      </c>
    </row>
    <row r="788" spans="1:5" ht="238.5" thickBot="1" x14ac:dyDescent="0.3">
      <c r="A788" s="58" t="s">
        <v>905</v>
      </c>
      <c r="B788" s="59"/>
      <c r="C788" s="60" t="s">
        <v>906</v>
      </c>
      <c r="D788" s="57"/>
      <c r="E788" s="57" t="s">
        <v>907</v>
      </c>
    </row>
    <row r="789" spans="1:5" ht="82.9" customHeight="1" thickBot="1" x14ac:dyDescent="0.3">
      <c r="A789" s="49" t="s">
        <v>908</v>
      </c>
      <c r="B789" s="61"/>
      <c r="C789" s="62" t="s">
        <v>909</v>
      </c>
      <c r="D789" s="57"/>
      <c r="E789" s="57" t="s">
        <v>910</v>
      </c>
    </row>
    <row r="790" spans="1:5" ht="16" thickBot="1" x14ac:dyDescent="0.3">
      <c r="A790" s="41" t="s">
        <v>114</v>
      </c>
      <c r="B790" s="28" t="s">
        <v>911</v>
      </c>
      <c r="C790" s="63"/>
      <c r="D790" s="57"/>
      <c r="E790" s="57"/>
    </row>
    <row r="791" spans="1:5" ht="84.5" thickBot="1" x14ac:dyDescent="0.3">
      <c r="A791" s="49" t="s">
        <v>912</v>
      </c>
      <c r="B791" s="28"/>
      <c r="C791" s="40" t="s">
        <v>913</v>
      </c>
      <c r="D791" s="57"/>
      <c r="E791" s="57"/>
    </row>
    <row r="792" spans="1:5" ht="56.5" thickBot="1" x14ac:dyDescent="0.3">
      <c r="A792" s="64">
        <v>36893</v>
      </c>
      <c r="B792" s="28"/>
      <c r="C792" s="40" t="s">
        <v>914</v>
      </c>
      <c r="D792" s="57"/>
      <c r="E792" s="57" t="s">
        <v>915</v>
      </c>
    </row>
    <row r="793" spans="1:5" ht="42.5" thickBot="1" x14ac:dyDescent="0.3">
      <c r="A793" s="64">
        <v>37258</v>
      </c>
      <c r="B793" s="28"/>
      <c r="C793" s="40" t="s">
        <v>916</v>
      </c>
      <c r="D793" s="57"/>
      <c r="E793" s="57" t="s">
        <v>917</v>
      </c>
    </row>
    <row r="794" spans="1:5" ht="28.5" thickBot="1" x14ac:dyDescent="0.3">
      <c r="A794" s="64">
        <v>37623</v>
      </c>
      <c r="B794" s="28"/>
      <c r="C794" s="40" t="s">
        <v>918</v>
      </c>
      <c r="D794" s="57"/>
      <c r="E794" s="57" t="s">
        <v>919</v>
      </c>
    </row>
    <row r="795" spans="1:5" ht="82.9" customHeight="1" thickBot="1" x14ac:dyDescent="0.3">
      <c r="A795" s="49" t="s">
        <v>920</v>
      </c>
      <c r="B795" s="65"/>
      <c r="C795" s="66" t="s">
        <v>921</v>
      </c>
      <c r="D795" s="57"/>
      <c r="E795" s="57" t="s">
        <v>922</v>
      </c>
    </row>
    <row r="796" spans="1:5" ht="16" thickBot="1" x14ac:dyDescent="0.3">
      <c r="A796" s="64">
        <v>38354</v>
      </c>
      <c r="B796" s="24"/>
      <c r="C796" s="63" t="s">
        <v>923</v>
      </c>
      <c r="D796" s="57"/>
      <c r="E796" s="57" t="s">
        <v>910</v>
      </c>
    </row>
    <row r="797" spans="1:5" ht="42.5" thickBot="1" x14ac:dyDescent="0.3">
      <c r="A797" s="64">
        <v>38719</v>
      </c>
      <c r="B797" s="28"/>
      <c r="C797" s="40" t="s">
        <v>924</v>
      </c>
      <c r="D797" s="57"/>
      <c r="E797" s="57" t="s">
        <v>910</v>
      </c>
    </row>
    <row r="798" spans="1:5" ht="98.5" thickBot="1" x14ac:dyDescent="0.3">
      <c r="A798" s="64">
        <v>45690</v>
      </c>
      <c r="B798" s="28"/>
      <c r="C798" s="40" t="s">
        <v>925</v>
      </c>
      <c r="D798" s="57"/>
      <c r="E798" s="57" t="s">
        <v>922</v>
      </c>
    </row>
    <row r="799" spans="1:5" ht="140.5" thickBot="1" x14ac:dyDescent="0.3">
      <c r="A799" s="64"/>
      <c r="B799" s="28"/>
      <c r="C799" s="40" t="s">
        <v>926</v>
      </c>
      <c r="D799" s="57"/>
      <c r="E799" s="57"/>
    </row>
    <row r="800" spans="1:5" ht="84.5" thickBot="1" x14ac:dyDescent="0.3">
      <c r="A800" s="23">
        <v>45718</v>
      </c>
      <c r="B800" s="28"/>
      <c r="C800" s="40" t="s">
        <v>927</v>
      </c>
      <c r="D800" s="57"/>
      <c r="E800" s="57" t="s">
        <v>922</v>
      </c>
    </row>
    <row r="801" spans="1:5" ht="168.5" thickBot="1" x14ac:dyDescent="0.3">
      <c r="A801" s="64">
        <v>45749</v>
      </c>
      <c r="B801" s="28"/>
      <c r="C801" s="40" t="s">
        <v>928</v>
      </c>
      <c r="D801" s="57"/>
      <c r="E801" s="57"/>
    </row>
    <row r="802" spans="1:5" ht="16" thickBot="1" x14ac:dyDescent="0.3">
      <c r="A802" s="64" t="s">
        <v>929</v>
      </c>
      <c r="B802" s="28"/>
      <c r="C802" s="40">
        <v>50</v>
      </c>
      <c r="D802" s="57"/>
      <c r="E802" s="57"/>
    </row>
    <row r="803" spans="1:5" ht="15.5" x14ac:dyDescent="0.25">
      <c r="A803" s="32" t="s">
        <v>930</v>
      </c>
      <c r="B803" s="67"/>
      <c r="C803" s="68"/>
      <c r="D803" s="57"/>
      <c r="E803" s="57"/>
    </row>
    <row r="804" spans="1:5" ht="126.5" thickBot="1" x14ac:dyDescent="0.3">
      <c r="A804" s="23">
        <v>45779</v>
      </c>
      <c r="B804" s="28"/>
      <c r="C804" s="69" t="s">
        <v>931</v>
      </c>
      <c r="D804" s="57"/>
      <c r="E804" s="57"/>
    </row>
    <row r="805" spans="1:5" ht="98.5" thickBot="1" x14ac:dyDescent="0.3">
      <c r="A805" s="23">
        <v>37013</v>
      </c>
      <c r="B805" s="24"/>
      <c r="C805" s="40" t="s">
        <v>932</v>
      </c>
      <c r="D805" s="57"/>
      <c r="E805" s="57" t="s">
        <v>933</v>
      </c>
    </row>
    <row r="806" spans="1:5" ht="13.9" customHeight="1" x14ac:dyDescent="0.25">
      <c r="A806" s="32">
        <v>37378</v>
      </c>
      <c r="B806" s="67"/>
      <c r="C806" s="68" t="s">
        <v>934</v>
      </c>
      <c r="D806" s="57"/>
      <c r="E806" s="57" t="s">
        <v>917</v>
      </c>
    </row>
    <row r="807" spans="1:5" ht="84" x14ac:dyDescent="0.25">
      <c r="A807" s="70">
        <v>37743</v>
      </c>
      <c r="B807" s="43"/>
      <c r="C807" s="71" t="s">
        <v>935</v>
      </c>
      <c r="D807" s="57"/>
      <c r="E807" s="57" t="s">
        <v>219</v>
      </c>
    </row>
    <row r="808" spans="1:5" ht="70.5" thickBot="1" x14ac:dyDescent="0.3">
      <c r="A808" s="23">
        <v>38109</v>
      </c>
      <c r="B808" s="28"/>
      <c r="C808" s="69" t="s">
        <v>936</v>
      </c>
      <c r="D808" s="57"/>
      <c r="E808" s="57" t="s">
        <v>937</v>
      </c>
    </row>
    <row r="809" spans="1:5" ht="65.5" thickBot="1" x14ac:dyDescent="0.3">
      <c r="A809" s="23">
        <v>38474</v>
      </c>
      <c r="B809" s="24"/>
      <c r="C809" s="63" t="s">
        <v>938</v>
      </c>
      <c r="D809" s="57"/>
      <c r="E809" s="57" t="s">
        <v>939</v>
      </c>
    </row>
    <row r="810" spans="1:5" ht="75.5" thickBot="1" x14ac:dyDescent="0.3">
      <c r="A810" s="64">
        <v>38839</v>
      </c>
      <c r="B810" s="28"/>
      <c r="C810" s="40" t="s">
        <v>940</v>
      </c>
      <c r="D810" s="57"/>
      <c r="E810" s="57" t="s">
        <v>941</v>
      </c>
    </row>
    <row r="811" spans="1:5" ht="294.5" thickBot="1" x14ac:dyDescent="0.3">
      <c r="A811" s="64">
        <v>45810</v>
      </c>
      <c r="B811" s="28"/>
      <c r="C811" s="40" t="s">
        <v>942</v>
      </c>
      <c r="D811" s="57"/>
      <c r="E811" s="57">
        <v>10</v>
      </c>
    </row>
    <row r="812" spans="1:5" ht="16" thickBot="1" x14ac:dyDescent="0.3">
      <c r="A812" s="64" t="s">
        <v>943</v>
      </c>
      <c r="B812" s="28"/>
      <c r="C812" s="40"/>
      <c r="D812" s="57"/>
      <c r="E812" s="57"/>
    </row>
    <row r="813" spans="1:5" ht="47" thickBot="1" x14ac:dyDescent="0.3">
      <c r="A813" s="64">
        <v>45840</v>
      </c>
      <c r="B813" s="28" t="s">
        <v>944</v>
      </c>
      <c r="C813" s="40"/>
      <c r="D813" s="57"/>
      <c r="E813" s="57"/>
    </row>
    <row r="814" spans="1:5" ht="98.5" thickBot="1" x14ac:dyDescent="0.3">
      <c r="A814" s="64"/>
      <c r="B814" s="28"/>
      <c r="C814" s="40" t="s">
        <v>945</v>
      </c>
      <c r="D814" s="57"/>
      <c r="E814" s="57"/>
    </row>
    <row r="815" spans="1:5" ht="16" thickBot="1" x14ac:dyDescent="0.3">
      <c r="A815" s="64">
        <v>37074</v>
      </c>
      <c r="B815" s="28"/>
      <c r="C815" s="40" t="e">
        <f>- středně těžké formy</f>
        <v>#NAME?</v>
      </c>
      <c r="D815" s="57"/>
      <c r="E815" s="57" t="s">
        <v>933</v>
      </c>
    </row>
    <row r="816" spans="1:5" ht="27.65" customHeight="1" x14ac:dyDescent="0.25">
      <c r="A816" s="32">
        <v>37439</v>
      </c>
      <c r="B816" s="67"/>
      <c r="C816" s="68" t="e">
        <f>- těžké formy</f>
        <v>#NAME?</v>
      </c>
      <c r="D816" s="57"/>
      <c r="E816" s="57" t="s">
        <v>946</v>
      </c>
    </row>
    <row r="817" spans="1:5" ht="126.5" thickBot="1" x14ac:dyDescent="0.3">
      <c r="A817" s="23"/>
      <c r="B817" s="28"/>
      <c r="C817" s="69" t="s">
        <v>947</v>
      </c>
      <c r="D817" s="57"/>
      <c r="E817" s="57"/>
    </row>
    <row r="818" spans="1:5" ht="151.9" customHeight="1" thickBot="1" x14ac:dyDescent="0.3">
      <c r="A818" s="23">
        <v>37804</v>
      </c>
      <c r="B818" s="65"/>
      <c r="C818" s="66" t="e">
        <f>- středně těžké formy</f>
        <v>#NAME?</v>
      </c>
      <c r="D818" s="57"/>
      <c r="E818" s="57" t="s">
        <v>948</v>
      </c>
    </row>
    <row r="819" spans="1:5" ht="16" thickBot="1" x14ac:dyDescent="0.3">
      <c r="A819" s="44">
        <v>38170</v>
      </c>
      <c r="B819" s="28"/>
      <c r="C819" s="63" t="e">
        <f>- těžké formy</f>
        <v>#NAME?</v>
      </c>
      <c r="D819" s="57"/>
      <c r="E819" s="57" t="s">
        <v>949</v>
      </c>
    </row>
    <row r="820" spans="1:5" ht="196.5" thickBot="1" x14ac:dyDescent="0.3">
      <c r="A820" s="64">
        <v>45871</v>
      </c>
      <c r="B820" s="28"/>
      <c r="C820" s="40" t="s">
        <v>950</v>
      </c>
      <c r="D820" s="57"/>
      <c r="E820" s="57"/>
    </row>
    <row r="821" spans="1:5" ht="70.5" thickBot="1" x14ac:dyDescent="0.3">
      <c r="A821" s="64"/>
      <c r="B821" s="28"/>
      <c r="C821" s="40" t="s">
        <v>951</v>
      </c>
      <c r="D821" s="57"/>
      <c r="E821" s="57"/>
    </row>
    <row r="822" spans="1:5" ht="16" thickBot="1" x14ac:dyDescent="0.3">
      <c r="A822" s="72">
        <v>37105</v>
      </c>
      <c r="B822" s="28"/>
      <c r="C822" s="63" t="e">
        <f>- středně těžké formy</f>
        <v>#NAME?</v>
      </c>
      <c r="D822" s="57"/>
      <c r="E822" s="57" t="s">
        <v>952</v>
      </c>
    </row>
    <row r="823" spans="1:5" ht="16" thickBot="1" x14ac:dyDescent="0.3">
      <c r="A823" s="64">
        <v>37470</v>
      </c>
      <c r="B823" s="28"/>
      <c r="C823" s="40" t="e">
        <f>- těžké formy</f>
        <v>#NAME?</v>
      </c>
      <c r="D823" s="57"/>
      <c r="E823" s="57" t="s">
        <v>953</v>
      </c>
    </row>
    <row r="824" spans="1:5" ht="140.5" thickBot="1" x14ac:dyDescent="0.3">
      <c r="A824" s="64">
        <v>37835</v>
      </c>
      <c r="B824" s="28"/>
      <c r="C824" s="40" t="s">
        <v>954</v>
      </c>
      <c r="D824" s="57"/>
      <c r="E824" s="57">
        <v>200</v>
      </c>
    </row>
    <row r="825" spans="1:5" ht="47" thickBot="1" x14ac:dyDescent="0.3">
      <c r="A825" s="23">
        <v>45902</v>
      </c>
      <c r="B825" s="24" t="s">
        <v>955</v>
      </c>
      <c r="C825" s="63"/>
      <c r="D825" s="57"/>
      <c r="E825" s="57"/>
    </row>
    <row r="826" spans="1:5" ht="91.5" thickBot="1" x14ac:dyDescent="0.3">
      <c r="A826" s="44"/>
      <c r="B826" s="28"/>
      <c r="C826" s="63" t="s">
        <v>956</v>
      </c>
      <c r="D826" s="57"/>
      <c r="E826" s="57"/>
    </row>
    <row r="827" spans="1:5" ht="16" thickBot="1" x14ac:dyDescent="0.3">
      <c r="A827" s="64">
        <v>37136</v>
      </c>
      <c r="B827" s="28"/>
      <c r="C827" s="40" t="e">
        <f>- středně těžké formy</f>
        <v>#NAME?</v>
      </c>
      <c r="D827" s="57"/>
      <c r="E827" s="57" t="s">
        <v>952</v>
      </c>
    </row>
    <row r="828" spans="1:5" ht="16" thickBot="1" x14ac:dyDescent="0.3">
      <c r="A828" s="64">
        <v>37501</v>
      </c>
      <c r="B828" s="28"/>
      <c r="C828" s="40" t="e">
        <f>- těžké formy</f>
        <v>#NAME?</v>
      </c>
      <c r="D828" s="57"/>
      <c r="E828" s="57" t="s">
        <v>953</v>
      </c>
    </row>
    <row r="829" spans="1:5" ht="98.5" thickBot="1" x14ac:dyDescent="0.3">
      <c r="A829" s="64">
        <v>37866</v>
      </c>
      <c r="B829" s="28"/>
      <c r="C829" s="40" t="s">
        <v>957</v>
      </c>
      <c r="D829" s="57"/>
      <c r="E829" s="57">
        <v>100</v>
      </c>
    </row>
    <row r="830" spans="1:5" ht="151.9" customHeight="1" thickBot="1" x14ac:dyDescent="0.3">
      <c r="A830" s="23"/>
      <c r="B830" s="65"/>
      <c r="C830" s="66" t="s">
        <v>958</v>
      </c>
      <c r="D830" s="57"/>
      <c r="E830" s="57"/>
    </row>
    <row r="831" spans="1:5" ht="16" thickBot="1" x14ac:dyDescent="0.3">
      <c r="A831" s="72">
        <v>38232</v>
      </c>
      <c r="B831" s="28"/>
      <c r="C831" s="63" t="e">
        <f>- středně těžké formy</f>
        <v>#NAME?</v>
      </c>
      <c r="D831" s="57"/>
      <c r="E831" s="57" t="s">
        <v>959</v>
      </c>
    </row>
    <row r="832" spans="1:5" ht="16" thickBot="1" x14ac:dyDescent="0.3">
      <c r="A832" s="64">
        <v>38597</v>
      </c>
      <c r="B832" s="28"/>
      <c r="C832" s="40" t="e">
        <f>- těžké formy</f>
        <v>#NAME?</v>
      </c>
      <c r="D832" s="57"/>
      <c r="E832" s="57" t="s">
        <v>960</v>
      </c>
    </row>
    <row r="833" spans="1:5" ht="84.5" thickBot="1" x14ac:dyDescent="0.3">
      <c r="A833" s="64"/>
      <c r="B833" s="28"/>
      <c r="C833" s="40" t="s">
        <v>961</v>
      </c>
      <c r="D833" s="57"/>
      <c r="E833" s="57"/>
    </row>
    <row r="834" spans="1:5" ht="16" thickBot="1" x14ac:dyDescent="0.3">
      <c r="A834" s="64">
        <v>38962</v>
      </c>
      <c r="B834" s="28"/>
      <c r="C834" s="55" t="e">
        <f>- středně těžké formy</f>
        <v>#NAME?</v>
      </c>
      <c r="D834" s="57"/>
      <c r="E834" s="57" t="s">
        <v>952</v>
      </c>
    </row>
    <row r="835" spans="1:5" ht="16" thickBot="1" x14ac:dyDescent="0.3">
      <c r="A835" s="72">
        <v>39327</v>
      </c>
      <c r="B835" s="28"/>
      <c r="C835" s="63" t="e">
        <f>- těžké formy</f>
        <v>#NAME?</v>
      </c>
      <c r="D835" s="57"/>
      <c r="E835" s="57" t="s">
        <v>953</v>
      </c>
    </row>
    <row r="836" spans="1:5" ht="98.5" thickBot="1" x14ac:dyDescent="0.3">
      <c r="A836" s="64"/>
      <c r="B836" s="28"/>
      <c r="C836" s="40" t="s">
        <v>962</v>
      </c>
      <c r="D836" s="57"/>
      <c r="E836" s="57"/>
    </row>
    <row r="837" spans="1:5" ht="16" thickBot="1" x14ac:dyDescent="0.3">
      <c r="A837" s="64">
        <v>39693</v>
      </c>
      <c r="B837" s="28"/>
      <c r="C837" s="40" t="e">
        <f>- středně těžké formy</f>
        <v>#NAME?</v>
      </c>
      <c r="D837" s="57"/>
      <c r="E837" s="57" t="s">
        <v>952</v>
      </c>
    </row>
    <row r="838" spans="1:5" ht="16" thickBot="1" x14ac:dyDescent="0.3">
      <c r="A838" s="44">
        <v>40058</v>
      </c>
      <c r="B838" s="28"/>
      <c r="C838" s="63" t="e">
        <f>- těžké formy</f>
        <v>#NAME?</v>
      </c>
      <c r="D838" s="57"/>
      <c r="E838" s="57" t="s">
        <v>953</v>
      </c>
    </row>
    <row r="839" spans="1:5" ht="56.5" thickBot="1" x14ac:dyDescent="0.3">
      <c r="A839" s="64">
        <v>40423</v>
      </c>
      <c r="B839" s="28"/>
      <c r="C839" s="40" t="s">
        <v>963</v>
      </c>
      <c r="D839" s="57"/>
      <c r="E839" s="57">
        <v>100</v>
      </c>
    </row>
    <row r="840" spans="1:5" ht="42.5" thickBot="1" x14ac:dyDescent="0.3">
      <c r="A840" s="64">
        <v>40788</v>
      </c>
      <c r="B840" s="28"/>
      <c r="C840" s="40" t="s">
        <v>964</v>
      </c>
      <c r="D840" s="57"/>
      <c r="E840" s="57">
        <v>100</v>
      </c>
    </row>
    <row r="841" spans="1:5" ht="78" thickBot="1" x14ac:dyDescent="0.3">
      <c r="A841" s="44">
        <v>45932</v>
      </c>
      <c r="B841" s="28" t="s">
        <v>965</v>
      </c>
      <c r="C841" s="63"/>
      <c r="D841" s="57"/>
      <c r="E841" s="57"/>
    </row>
    <row r="842" spans="1:5" ht="126.5" thickBot="1" x14ac:dyDescent="0.3">
      <c r="A842" s="64"/>
      <c r="B842" s="28"/>
      <c r="C842" s="40" t="s">
        <v>947</v>
      </c>
      <c r="D842" s="57"/>
      <c r="E842" s="57"/>
    </row>
    <row r="843" spans="1:5" ht="16" thickBot="1" x14ac:dyDescent="0.3">
      <c r="A843" s="64">
        <v>37166</v>
      </c>
      <c r="B843" s="28"/>
      <c r="C843" s="40" t="e">
        <f>- středně těžké formy</f>
        <v>#NAME?</v>
      </c>
      <c r="D843" s="57"/>
      <c r="E843" s="57" t="s">
        <v>948</v>
      </c>
    </row>
    <row r="844" spans="1:5" ht="16" thickBot="1" x14ac:dyDescent="0.3">
      <c r="A844" s="64">
        <v>37531</v>
      </c>
      <c r="B844" s="28"/>
      <c r="C844" s="40" t="e">
        <f>- těžké formy</f>
        <v>#NAME?</v>
      </c>
      <c r="D844" s="57"/>
      <c r="E844" s="57" t="s">
        <v>949</v>
      </c>
    </row>
    <row r="845" spans="1:5" ht="98.5" thickBot="1" x14ac:dyDescent="0.3">
      <c r="A845" s="64"/>
      <c r="B845" s="28"/>
      <c r="C845" s="40" t="s">
        <v>945</v>
      </c>
      <c r="D845" s="57"/>
      <c r="E845" s="57"/>
    </row>
    <row r="846" spans="1:5" ht="303.64999999999998" customHeight="1" thickBot="1" x14ac:dyDescent="0.3">
      <c r="A846" s="23">
        <v>37896</v>
      </c>
      <c r="B846" s="65"/>
      <c r="C846" s="66" t="e">
        <f>- středně těžké formy</f>
        <v>#NAME?</v>
      </c>
      <c r="D846" s="57"/>
      <c r="E846" s="57" t="s">
        <v>933</v>
      </c>
    </row>
    <row r="847" spans="1:5" ht="16" thickBot="1" x14ac:dyDescent="0.3">
      <c r="A847" s="44">
        <v>38262</v>
      </c>
      <c r="B847" s="28"/>
      <c r="C847" s="63" t="e">
        <f>- těžké formy</f>
        <v>#NAME?</v>
      </c>
      <c r="D847" s="57"/>
      <c r="E847" s="57" t="s">
        <v>946</v>
      </c>
    </row>
    <row r="848" spans="1:5" ht="84.5" thickBot="1" x14ac:dyDescent="0.3">
      <c r="A848" s="64"/>
      <c r="B848" s="28"/>
      <c r="C848" s="40" t="s">
        <v>966</v>
      </c>
      <c r="D848" s="57"/>
      <c r="E848" s="57"/>
    </row>
    <row r="849" spans="1:5" ht="16" thickBot="1" x14ac:dyDescent="0.3">
      <c r="A849" s="64">
        <v>38627</v>
      </c>
      <c r="B849" s="28"/>
      <c r="C849" s="40" t="e">
        <f>- středně těžké formy</f>
        <v>#NAME?</v>
      </c>
      <c r="D849" s="57"/>
      <c r="E849" s="57" t="s">
        <v>967</v>
      </c>
    </row>
    <row r="850" spans="1:5" ht="16" thickBot="1" x14ac:dyDescent="0.3">
      <c r="A850" s="72">
        <v>38992</v>
      </c>
      <c r="B850" s="28"/>
      <c r="C850" s="63" t="e">
        <f>- těžké formy</f>
        <v>#NAME?</v>
      </c>
      <c r="D850" s="57"/>
      <c r="E850" s="57" t="s">
        <v>968</v>
      </c>
    </row>
    <row r="851" spans="1:5" ht="409.6" thickBot="1" x14ac:dyDescent="0.3">
      <c r="A851" s="64">
        <v>45963</v>
      </c>
      <c r="B851" s="28"/>
      <c r="C851" s="40" t="s">
        <v>969</v>
      </c>
      <c r="D851" s="57"/>
      <c r="E851" s="57"/>
    </row>
    <row r="852" spans="1:5" ht="409.6" thickBot="1" x14ac:dyDescent="0.3">
      <c r="A852" s="64"/>
      <c r="B852" s="28"/>
      <c r="C852" s="40" t="s">
        <v>970</v>
      </c>
      <c r="D852" s="57"/>
      <c r="E852" s="57"/>
    </row>
    <row r="853" spans="1:5" ht="409.6" thickBot="1" x14ac:dyDescent="0.3">
      <c r="A853" s="53"/>
      <c r="B853" s="28"/>
      <c r="C853" s="63" t="s">
        <v>971</v>
      </c>
      <c r="D853" s="57"/>
      <c r="E853" s="57"/>
    </row>
    <row r="854" spans="1:5" ht="16" thickBot="1" x14ac:dyDescent="0.3">
      <c r="A854" s="64">
        <v>37197</v>
      </c>
      <c r="B854" s="28"/>
      <c r="C854" s="40" t="e">
        <f>- středně těžké formy</f>
        <v>#NAME?</v>
      </c>
      <c r="D854" s="57"/>
      <c r="E854" s="57" t="s">
        <v>972</v>
      </c>
    </row>
    <row r="855" spans="1:5" ht="16" thickBot="1" x14ac:dyDescent="0.3">
      <c r="A855" s="64">
        <v>37562</v>
      </c>
      <c r="B855" s="28"/>
      <c r="C855" s="40" t="e">
        <f>- těžké formy</f>
        <v>#NAME?</v>
      </c>
      <c r="D855" s="57"/>
      <c r="E855" s="57" t="s">
        <v>973</v>
      </c>
    </row>
    <row r="856" spans="1:5" ht="69" customHeight="1" thickBot="1" x14ac:dyDescent="0.3">
      <c r="A856" s="49" t="s">
        <v>133</v>
      </c>
      <c r="B856" s="65" t="s">
        <v>974</v>
      </c>
      <c r="C856" s="66"/>
      <c r="D856" s="57"/>
      <c r="E856" s="57"/>
    </row>
    <row r="857" spans="1:5" ht="151.9" customHeight="1" thickBot="1" x14ac:dyDescent="0.3">
      <c r="A857" s="23">
        <v>45660</v>
      </c>
      <c r="B857" s="65" t="s">
        <v>975</v>
      </c>
      <c r="C857" s="66"/>
      <c r="D857" s="57"/>
      <c r="E857" s="57"/>
    </row>
    <row r="858" spans="1:5" ht="84.5" thickBot="1" x14ac:dyDescent="0.3">
      <c r="A858" s="64">
        <v>36894</v>
      </c>
      <c r="B858" s="28"/>
      <c r="C858" s="40" t="s">
        <v>976</v>
      </c>
      <c r="D858" s="57"/>
      <c r="E858" s="57" t="s">
        <v>977</v>
      </c>
    </row>
    <row r="859" spans="1:5" ht="168.5" thickBot="1" x14ac:dyDescent="0.3">
      <c r="A859" s="64">
        <v>37259</v>
      </c>
      <c r="B859" s="28"/>
      <c r="C859" s="40" t="s">
        <v>978</v>
      </c>
      <c r="D859" s="57"/>
      <c r="E859" s="57" t="s">
        <v>919</v>
      </c>
    </row>
    <row r="860" spans="1:5" ht="70.5" thickBot="1" x14ac:dyDescent="0.3">
      <c r="A860" s="64">
        <v>37624</v>
      </c>
      <c r="B860" s="28"/>
      <c r="C860" s="40" t="s">
        <v>979</v>
      </c>
      <c r="D860" s="57"/>
      <c r="E860" s="57" t="s">
        <v>980</v>
      </c>
    </row>
    <row r="861" spans="1:5" ht="82.9" customHeight="1" thickBot="1" x14ac:dyDescent="0.3">
      <c r="A861" s="23">
        <v>37989</v>
      </c>
      <c r="B861" s="65"/>
      <c r="C861" s="66" t="s">
        <v>981</v>
      </c>
      <c r="D861" s="57"/>
      <c r="E861" s="57" t="s">
        <v>982</v>
      </c>
    </row>
    <row r="862" spans="1:5" ht="31.5" thickBot="1" x14ac:dyDescent="0.3">
      <c r="A862" s="72">
        <v>45691</v>
      </c>
      <c r="B862" s="28" t="s">
        <v>983</v>
      </c>
      <c r="C862" s="63"/>
      <c r="D862" s="57"/>
      <c r="E862" s="57"/>
    </row>
    <row r="863" spans="1:5" ht="42.5" thickBot="1" x14ac:dyDescent="0.3">
      <c r="A863" s="64"/>
      <c r="B863" s="28"/>
      <c r="C863" s="40" t="s">
        <v>984</v>
      </c>
      <c r="D863" s="57"/>
      <c r="E863" s="57"/>
    </row>
    <row r="864" spans="1:5" ht="16" thickBot="1" x14ac:dyDescent="0.3">
      <c r="A864" s="64">
        <v>36925</v>
      </c>
      <c r="B864" s="28"/>
      <c r="C864" s="40" t="e">
        <f>- s lehkou poruchou ventilace plic</f>
        <v>#NAME?</v>
      </c>
      <c r="D864" s="57"/>
      <c r="E864" s="57" t="s">
        <v>917</v>
      </c>
    </row>
    <row r="865" spans="1:5" ht="16" thickBot="1" x14ac:dyDescent="0.3">
      <c r="A865" s="64">
        <v>37290</v>
      </c>
      <c r="B865" s="28"/>
      <c r="C865" s="40" t="e">
        <f>- se středně těžkou poruchou ventilace plic</f>
        <v>#NAME?</v>
      </c>
      <c r="D865" s="57"/>
      <c r="E865" s="57" t="s">
        <v>904</v>
      </c>
    </row>
    <row r="866" spans="1:5" ht="16" thickBot="1" x14ac:dyDescent="0.3">
      <c r="A866" s="72">
        <v>37655</v>
      </c>
      <c r="B866" s="28"/>
      <c r="C866" s="63" t="e">
        <f>- s těžkou poruchou ventilace plic</f>
        <v>#NAME?</v>
      </c>
      <c r="D866" s="57"/>
      <c r="E866" s="57" t="s">
        <v>907</v>
      </c>
    </row>
    <row r="867" spans="1:5" ht="154.5" thickBot="1" x14ac:dyDescent="0.3">
      <c r="A867" s="64"/>
      <c r="B867" s="28"/>
      <c r="C867" s="40" t="s">
        <v>985</v>
      </c>
      <c r="D867" s="57"/>
      <c r="E867" s="57"/>
    </row>
    <row r="868" spans="1:5" ht="16" thickBot="1" x14ac:dyDescent="0.3">
      <c r="A868" s="64">
        <v>38020</v>
      </c>
      <c r="B868" s="28"/>
      <c r="C868" s="40" t="e">
        <f>- s lehkou poruchou ventilace plic</f>
        <v>#NAME?</v>
      </c>
      <c r="D868" s="57"/>
      <c r="E868" s="57" t="s">
        <v>917</v>
      </c>
    </row>
    <row r="869" spans="1:5" ht="16" thickBot="1" x14ac:dyDescent="0.3">
      <c r="A869" s="64">
        <v>38386</v>
      </c>
      <c r="B869" s="28"/>
      <c r="C869" s="40" t="e">
        <f>- se středně těžkou poruchou ventilace plic</f>
        <v>#NAME?</v>
      </c>
      <c r="D869" s="57"/>
      <c r="E869" s="57" t="s">
        <v>986</v>
      </c>
    </row>
    <row r="870" spans="1:5" ht="16" thickBot="1" x14ac:dyDescent="0.3">
      <c r="A870" s="64">
        <v>38751</v>
      </c>
      <c r="B870" s="28"/>
      <c r="C870" s="40" t="e">
        <f>- s těžkou poruchou ventilace plic</f>
        <v>#NAME?</v>
      </c>
      <c r="D870" s="57"/>
      <c r="E870" s="57" t="s">
        <v>987</v>
      </c>
    </row>
    <row r="871" spans="1:5" ht="42.5" thickBot="1" x14ac:dyDescent="0.3">
      <c r="A871" s="64">
        <v>39116</v>
      </c>
      <c r="B871" s="28"/>
      <c r="C871" s="40" t="s">
        <v>988</v>
      </c>
      <c r="D871" s="57"/>
      <c r="E871" s="57" t="s">
        <v>910</v>
      </c>
    </row>
    <row r="872" spans="1:5" ht="286.5" thickBot="1" x14ac:dyDescent="0.3">
      <c r="A872" s="23">
        <v>39481</v>
      </c>
      <c r="B872" s="24"/>
      <c r="C872" s="63" t="s">
        <v>989</v>
      </c>
      <c r="D872" s="57"/>
      <c r="E872" s="57" t="s">
        <v>910</v>
      </c>
    </row>
    <row r="873" spans="1:5" ht="154.5" thickBot="1" x14ac:dyDescent="0.3">
      <c r="A873" s="64">
        <v>45719</v>
      </c>
      <c r="B873" s="28"/>
      <c r="C873" s="40" t="s">
        <v>990</v>
      </c>
      <c r="D873" s="57"/>
      <c r="E873" s="57"/>
    </row>
    <row r="874" spans="1:5" ht="16" thickBot="1" x14ac:dyDescent="0.3">
      <c r="A874" s="64">
        <v>36953</v>
      </c>
      <c r="B874" s="28"/>
      <c r="C874" s="40" t="e">
        <f>- s lehkou poruchou ventilace plic</f>
        <v>#NAME?</v>
      </c>
      <c r="D874" s="57"/>
      <c r="E874" s="57" t="s">
        <v>917</v>
      </c>
    </row>
    <row r="875" spans="1:5" ht="16" thickBot="1" x14ac:dyDescent="0.3">
      <c r="A875" s="64">
        <v>37318</v>
      </c>
      <c r="B875" s="28"/>
      <c r="C875" s="40" t="e">
        <f>- se středně těžkou poruchou ventilace plic</f>
        <v>#NAME?</v>
      </c>
      <c r="D875" s="57"/>
      <c r="E875" s="57" t="s">
        <v>904</v>
      </c>
    </row>
    <row r="876" spans="1:5" ht="16" thickBot="1" x14ac:dyDescent="0.3">
      <c r="A876" s="23">
        <v>37683</v>
      </c>
      <c r="B876" s="24"/>
      <c r="C876" s="40" t="e">
        <f>- s těžkou poruchou ventilace plic</f>
        <v>#NAME?</v>
      </c>
      <c r="D876" s="57"/>
      <c r="E876" s="57" t="s">
        <v>907</v>
      </c>
    </row>
    <row r="877" spans="1:5" ht="39.5" thickBot="1" x14ac:dyDescent="0.3">
      <c r="A877" s="23">
        <v>45750</v>
      </c>
      <c r="B877" s="24"/>
      <c r="C877" s="63" t="s">
        <v>991</v>
      </c>
      <c r="D877" s="57"/>
      <c r="E877" s="57" t="s">
        <v>917</v>
      </c>
    </row>
    <row r="878" spans="1:5" ht="266.5" thickBot="1" x14ac:dyDescent="0.3">
      <c r="A878" s="64">
        <v>45780</v>
      </c>
      <c r="B878" s="28"/>
      <c r="C878" s="40" t="s">
        <v>992</v>
      </c>
      <c r="D878" s="57"/>
      <c r="E878" s="57"/>
    </row>
    <row r="879" spans="1:5" ht="16" thickBot="1" x14ac:dyDescent="0.3">
      <c r="A879" s="64">
        <v>37014</v>
      </c>
      <c r="B879" s="28"/>
      <c r="C879" s="40" t="e">
        <f>- s lehkou poruchou ventilace plic</f>
        <v>#NAME?</v>
      </c>
      <c r="D879" s="57"/>
      <c r="E879" s="57" t="s">
        <v>917</v>
      </c>
    </row>
    <row r="880" spans="1:5" ht="16" thickBot="1" x14ac:dyDescent="0.3">
      <c r="A880" s="64">
        <v>37379</v>
      </c>
      <c r="B880" s="28"/>
      <c r="C880" s="40" t="e">
        <f>- se středně těžkou poruchou ventilace plic</f>
        <v>#NAME?</v>
      </c>
      <c r="D880" s="57"/>
      <c r="E880" s="57" t="s">
        <v>904</v>
      </c>
    </row>
    <row r="881" spans="1:5" ht="16" thickBot="1" x14ac:dyDescent="0.3">
      <c r="A881" s="23">
        <v>37744</v>
      </c>
      <c r="B881" s="24"/>
      <c r="C881" s="40" t="e">
        <f>- s těžkou poruchou ventilace plic</f>
        <v>#NAME?</v>
      </c>
      <c r="D881" s="57"/>
      <c r="E881" s="57" t="s">
        <v>907</v>
      </c>
    </row>
    <row r="882" spans="1:5" ht="70.5" thickBot="1" x14ac:dyDescent="0.3">
      <c r="A882" s="23">
        <v>45811</v>
      </c>
      <c r="B882" s="24"/>
      <c r="C882" s="40" t="s">
        <v>993</v>
      </c>
      <c r="D882" s="57"/>
      <c r="E882" s="57" t="s">
        <v>910</v>
      </c>
    </row>
    <row r="883" spans="1:5" ht="140.5" thickBot="1" x14ac:dyDescent="0.3">
      <c r="A883" s="23">
        <v>45841</v>
      </c>
      <c r="B883" s="24"/>
      <c r="C883" s="40" t="s">
        <v>994</v>
      </c>
      <c r="D883" s="57"/>
      <c r="E883" s="57" t="s">
        <v>910</v>
      </c>
    </row>
    <row r="884" spans="1:5" ht="91.5" thickBot="1" x14ac:dyDescent="0.3">
      <c r="A884" s="23">
        <v>45872</v>
      </c>
      <c r="B884" s="24"/>
      <c r="C884" s="63" t="s">
        <v>995</v>
      </c>
      <c r="D884" s="57"/>
      <c r="E884" s="57" t="s">
        <v>910</v>
      </c>
    </row>
    <row r="885" spans="1:5" ht="70.5" thickBot="1" x14ac:dyDescent="0.3">
      <c r="A885" s="64">
        <v>45903</v>
      </c>
      <c r="B885" s="28"/>
      <c r="C885" s="40" t="s">
        <v>996</v>
      </c>
      <c r="D885" s="57"/>
      <c r="E885" s="57"/>
    </row>
    <row r="886" spans="1:5" ht="16" thickBot="1" x14ac:dyDescent="0.3">
      <c r="A886" s="64">
        <v>37137</v>
      </c>
      <c r="B886" s="28"/>
      <c r="C886" s="40" t="e">
        <f>- s lehkou poruchou ventilace plic</f>
        <v>#NAME?</v>
      </c>
      <c r="D886" s="57"/>
      <c r="E886" s="57" t="s">
        <v>917</v>
      </c>
    </row>
    <row r="887" spans="1:5" ht="16" thickBot="1" x14ac:dyDescent="0.3">
      <c r="A887" s="64">
        <v>37502</v>
      </c>
      <c r="B887" s="28"/>
      <c r="C887" s="40" t="e">
        <f>- se středně těžkou poruchou ventilace plic</f>
        <v>#NAME?</v>
      </c>
      <c r="D887" s="57"/>
      <c r="E887" s="57" t="s">
        <v>904</v>
      </c>
    </row>
    <row r="888" spans="1:5" ht="69" customHeight="1" thickBot="1" x14ac:dyDescent="0.3">
      <c r="A888" s="23">
        <v>37867</v>
      </c>
      <c r="B888" s="65"/>
      <c r="C888" s="66" t="e">
        <f>- s těžkou poruchou ventilace plic</f>
        <v>#NAME?</v>
      </c>
      <c r="D888" s="57"/>
      <c r="E888" s="57" t="s">
        <v>907</v>
      </c>
    </row>
    <row r="889" spans="1:5" ht="31.5" thickBot="1" x14ac:dyDescent="0.3">
      <c r="A889" s="44">
        <v>45933</v>
      </c>
      <c r="B889" s="28" t="s">
        <v>997</v>
      </c>
      <c r="C889" s="63"/>
      <c r="D889" s="57"/>
      <c r="E889" s="57"/>
    </row>
    <row r="890" spans="1:5" ht="70.5" thickBot="1" x14ac:dyDescent="0.3">
      <c r="A890" s="64"/>
      <c r="B890" s="28"/>
      <c r="C890" s="40" t="s">
        <v>998</v>
      </c>
      <c r="D890" s="57"/>
      <c r="E890" s="57"/>
    </row>
    <row r="891" spans="1:5" ht="252.5" thickBot="1" x14ac:dyDescent="0.3">
      <c r="A891" s="64">
        <v>37167</v>
      </c>
      <c r="B891" s="28"/>
      <c r="C891" s="40" t="s">
        <v>999</v>
      </c>
      <c r="D891" s="57"/>
      <c r="E891" s="57" t="s">
        <v>917</v>
      </c>
    </row>
    <row r="892" spans="1:5" ht="16" thickBot="1" x14ac:dyDescent="0.3">
      <c r="A892" s="72">
        <v>37532</v>
      </c>
      <c r="B892" s="28"/>
      <c r="C892" s="63" t="e">
        <f>- při léčbě inhalačními kortikosteroidy a úlevovými léky a/nebo se středně těžkou až těžkou bronchiální hyperreaktivitou a/nebo při zvýšené hodnotě FeNO</f>
        <v>#NAME?</v>
      </c>
      <c r="D892" s="57"/>
      <c r="E892" s="57" t="s">
        <v>1000</v>
      </c>
    </row>
    <row r="893" spans="1:5" ht="42.5" thickBot="1" x14ac:dyDescent="0.3">
      <c r="A893" s="64"/>
      <c r="B893" s="28"/>
      <c r="C893" s="40" t="s">
        <v>1001</v>
      </c>
      <c r="D893" s="57"/>
      <c r="E893" s="57"/>
    </row>
    <row r="894" spans="1:5" ht="238.5" thickBot="1" x14ac:dyDescent="0.3">
      <c r="A894" s="64">
        <v>37897</v>
      </c>
      <c r="B894" s="28"/>
      <c r="C894" s="40" t="s">
        <v>1002</v>
      </c>
      <c r="D894" s="57"/>
      <c r="E894" s="57" t="s">
        <v>933</v>
      </c>
    </row>
    <row r="895" spans="1:5" ht="16" thickBot="1" x14ac:dyDescent="0.3">
      <c r="A895" s="23">
        <v>38263</v>
      </c>
      <c r="B895" s="24"/>
      <c r="C895" s="63" t="e">
        <f>- při potřebě léčby a/nebo s oboustrannou poruchou nosní průchodnosti v klidu mimo kontakt s vyvolávající noxou</f>
        <v>#NAME?</v>
      </c>
      <c r="D895" s="57"/>
      <c r="E895" s="57" t="s">
        <v>1003</v>
      </c>
    </row>
    <row r="896" spans="1:5" ht="168.5" thickBot="1" x14ac:dyDescent="0.3">
      <c r="A896" s="64">
        <v>45964</v>
      </c>
      <c r="B896" s="28"/>
      <c r="C896" s="40" t="s">
        <v>1004</v>
      </c>
      <c r="D896" s="57"/>
      <c r="E896" s="57"/>
    </row>
    <row r="897" spans="1:5" ht="16" thickBot="1" x14ac:dyDescent="0.3">
      <c r="A897" s="64">
        <v>37198</v>
      </c>
      <c r="B897" s="28"/>
      <c r="C897" s="40" t="e">
        <f>- s lehkou poruchou ventilace plic</f>
        <v>#NAME?</v>
      </c>
      <c r="D897" s="57"/>
      <c r="E897" s="57" t="s">
        <v>917</v>
      </c>
    </row>
    <row r="898" spans="1:5" ht="16" thickBot="1" x14ac:dyDescent="0.3">
      <c r="A898" s="64">
        <v>37563</v>
      </c>
      <c r="B898" s="28"/>
      <c r="C898" s="40" t="e">
        <f>- se středně těžkou poruchou ventilace plic</f>
        <v>#NAME?</v>
      </c>
      <c r="D898" s="57"/>
      <c r="E898" s="57" t="s">
        <v>904</v>
      </c>
    </row>
    <row r="899" spans="1:5" ht="16" thickBot="1" x14ac:dyDescent="0.3">
      <c r="A899" s="23">
        <v>37928</v>
      </c>
      <c r="B899" s="24"/>
      <c r="C899" s="40" t="e">
        <f>- s těžkou poruchou ventilace plic</f>
        <v>#NAME?</v>
      </c>
      <c r="D899" s="57"/>
      <c r="E899" s="57" t="s">
        <v>907</v>
      </c>
    </row>
    <row r="900" spans="1:5" ht="325.5" thickBot="1" x14ac:dyDescent="0.3">
      <c r="A900" s="41">
        <v>45994</v>
      </c>
      <c r="B900" s="24"/>
      <c r="C900" s="63" t="s">
        <v>1005</v>
      </c>
      <c r="D900" s="57"/>
      <c r="E900" s="57" t="s">
        <v>910</v>
      </c>
    </row>
    <row r="901" spans="1:5" ht="266.5" thickBot="1" x14ac:dyDescent="0.3">
      <c r="A901" s="64">
        <v>41334</v>
      </c>
      <c r="B901" s="28"/>
      <c r="C901" s="40" t="s">
        <v>1006</v>
      </c>
      <c r="D901" s="57"/>
      <c r="E901" s="57"/>
    </row>
    <row r="902" spans="1:5" ht="56.5" thickBot="1" x14ac:dyDescent="0.3">
      <c r="A902" s="49" t="s">
        <v>1007</v>
      </c>
      <c r="B902" s="28"/>
      <c r="C902" s="40" t="s">
        <v>1008</v>
      </c>
      <c r="D902" s="57"/>
      <c r="E902" s="57" t="s">
        <v>917</v>
      </c>
    </row>
    <row r="903" spans="1:5" ht="56.5" thickBot="1" x14ac:dyDescent="0.3">
      <c r="A903" s="64" t="s">
        <v>1009</v>
      </c>
      <c r="B903" s="28"/>
      <c r="C903" s="40" t="s">
        <v>1010</v>
      </c>
      <c r="D903" s="57"/>
      <c r="E903" s="57" t="s">
        <v>904</v>
      </c>
    </row>
    <row r="904" spans="1:5" ht="41.5" customHeight="1" thickBot="1" x14ac:dyDescent="0.3">
      <c r="A904" s="64" t="s">
        <v>1011</v>
      </c>
      <c r="B904" s="65"/>
      <c r="C904" s="66" t="s">
        <v>1012</v>
      </c>
      <c r="D904" s="57"/>
      <c r="E904" s="57" t="s">
        <v>907</v>
      </c>
    </row>
    <row r="905" spans="1:5" ht="16" thickBot="1" x14ac:dyDescent="0.3">
      <c r="A905" s="23" t="s">
        <v>153</v>
      </c>
      <c r="B905" s="24" t="s">
        <v>1013</v>
      </c>
      <c r="C905" s="63"/>
      <c r="D905" s="57"/>
      <c r="E905" s="57"/>
    </row>
    <row r="906" spans="1:5" ht="168.5" thickBot="1" x14ac:dyDescent="0.3">
      <c r="A906" s="64">
        <v>45661</v>
      </c>
      <c r="B906" s="28"/>
      <c r="C906" s="40" t="s">
        <v>1014</v>
      </c>
      <c r="D906" s="57"/>
      <c r="E906" s="57"/>
    </row>
    <row r="907" spans="1:5" ht="84.5" thickBot="1" x14ac:dyDescent="0.3">
      <c r="A907" s="64">
        <v>36895</v>
      </c>
      <c r="B907" s="28"/>
      <c r="C907" s="40" t="s">
        <v>1015</v>
      </c>
      <c r="D907" s="57"/>
      <c r="E907" s="57" t="s">
        <v>1016</v>
      </c>
    </row>
    <row r="908" spans="1:5" ht="322" x14ac:dyDescent="0.25">
      <c r="A908" s="73">
        <v>37260</v>
      </c>
      <c r="B908" s="43"/>
      <c r="C908" s="68" t="s">
        <v>1017</v>
      </c>
      <c r="D908" s="57"/>
      <c r="E908" s="57" t="s">
        <v>904</v>
      </c>
    </row>
    <row r="909" spans="1:5" ht="409.6" thickBot="1" x14ac:dyDescent="0.3">
      <c r="A909" s="64">
        <v>37625</v>
      </c>
      <c r="B909" s="28"/>
      <c r="C909" s="69" t="s">
        <v>1018</v>
      </c>
      <c r="D909" s="57"/>
      <c r="E909" s="57" t="s">
        <v>907</v>
      </c>
    </row>
    <row r="910" spans="1:5" ht="69" customHeight="1" thickBot="1" x14ac:dyDescent="0.3">
      <c r="A910" s="23" t="s">
        <v>166</v>
      </c>
      <c r="B910" s="65" t="s">
        <v>1019</v>
      </c>
      <c r="C910" s="66"/>
      <c r="D910" s="57"/>
      <c r="E910" s="57"/>
    </row>
    <row r="911" spans="1:5" ht="169.5" thickBot="1" x14ac:dyDescent="0.3">
      <c r="A911" s="23">
        <v>45662</v>
      </c>
      <c r="B911" s="24"/>
      <c r="C911" s="63" t="s">
        <v>1020</v>
      </c>
      <c r="D911" s="57"/>
      <c r="E911" s="57"/>
    </row>
    <row r="912" spans="1:5" ht="238.5" thickBot="1" x14ac:dyDescent="0.3">
      <c r="A912" s="64">
        <v>36896</v>
      </c>
      <c r="B912" s="28"/>
      <c r="C912" s="40" t="s">
        <v>1021</v>
      </c>
      <c r="D912" s="57"/>
      <c r="E912" s="57" t="s">
        <v>901</v>
      </c>
    </row>
    <row r="913" spans="1:5" ht="210.5" thickBot="1" x14ac:dyDescent="0.3">
      <c r="A913" s="64">
        <v>37261</v>
      </c>
      <c r="B913" s="28"/>
      <c r="C913" s="40" t="s">
        <v>1022</v>
      </c>
      <c r="D913" s="57"/>
      <c r="E913" s="57" t="s">
        <v>904</v>
      </c>
    </row>
    <row r="914" spans="1:5" ht="224.5" thickBot="1" x14ac:dyDescent="0.3">
      <c r="A914" s="64">
        <v>37626</v>
      </c>
      <c r="B914" s="28"/>
      <c r="C914" s="40" t="s">
        <v>1023</v>
      </c>
      <c r="D914" s="57"/>
      <c r="E914" s="57" t="s">
        <v>907</v>
      </c>
    </row>
    <row r="915" spans="1:5" ht="143.5" thickBot="1" x14ac:dyDescent="0.3">
      <c r="A915" s="23">
        <v>45693</v>
      </c>
      <c r="B915" s="24"/>
      <c r="C915" s="63" t="s">
        <v>1024</v>
      </c>
      <c r="D915" s="57"/>
      <c r="E915" s="57"/>
    </row>
    <row r="916" spans="1:5" ht="238.5" thickBot="1" x14ac:dyDescent="0.3">
      <c r="A916" s="64">
        <v>36927</v>
      </c>
      <c r="B916" s="28"/>
      <c r="C916" s="40" t="s">
        <v>1021</v>
      </c>
      <c r="D916" s="57"/>
      <c r="E916" s="57" t="s">
        <v>901</v>
      </c>
    </row>
    <row r="917" spans="1:5" ht="210.5" thickBot="1" x14ac:dyDescent="0.3">
      <c r="A917" s="64">
        <v>37292</v>
      </c>
      <c r="B917" s="28"/>
      <c r="C917" s="40" t="s">
        <v>1022</v>
      </c>
      <c r="D917" s="57"/>
      <c r="E917" s="57" t="s">
        <v>904</v>
      </c>
    </row>
    <row r="918" spans="1:5" ht="224.5" thickBot="1" x14ac:dyDescent="0.3">
      <c r="A918" s="64">
        <v>37657</v>
      </c>
      <c r="B918" s="28"/>
      <c r="C918" s="40" t="s">
        <v>1025</v>
      </c>
      <c r="D918" s="57"/>
      <c r="E918" s="57" t="s">
        <v>907</v>
      </c>
    </row>
    <row r="919" spans="1:5" ht="169.5" thickBot="1" x14ac:dyDescent="0.3">
      <c r="A919" s="23">
        <v>45721</v>
      </c>
      <c r="B919" s="24"/>
      <c r="C919" s="63" t="s">
        <v>1026</v>
      </c>
      <c r="D919" s="57"/>
      <c r="E919" s="57"/>
    </row>
    <row r="920" spans="1:5" ht="238.5" thickBot="1" x14ac:dyDescent="0.3">
      <c r="A920" s="64">
        <v>36955</v>
      </c>
      <c r="B920" s="28"/>
      <c r="C920" s="40" t="s">
        <v>1021</v>
      </c>
      <c r="D920" s="57"/>
      <c r="E920" s="57" t="s">
        <v>901</v>
      </c>
    </row>
    <row r="921" spans="1:5" ht="210.5" thickBot="1" x14ac:dyDescent="0.3">
      <c r="A921" s="64">
        <v>37320</v>
      </c>
      <c r="B921" s="28"/>
      <c r="C921" s="40" t="s">
        <v>1022</v>
      </c>
      <c r="D921" s="57"/>
      <c r="E921" s="57" t="s">
        <v>904</v>
      </c>
    </row>
    <row r="922" spans="1:5" ht="224.5" thickBot="1" x14ac:dyDescent="0.3">
      <c r="A922" s="64">
        <v>37685</v>
      </c>
      <c r="B922" s="28"/>
      <c r="C922" s="40" t="s">
        <v>1025</v>
      </c>
      <c r="D922" s="57"/>
      <c r="E922" s="57" t="s">
        <v>907</v>
      </c>
    </row>
    <row r="923" spans="1:5" ht="69" customHeight="1" thickBot="1" x14ac:dyDescent="0.3">
      <c r="A923" s="64" t="s">
        <v>188</v>
      </c>
      <c r="B923" s="61" t="s">
        <v>1027</v>
      </c>
      <c r="C923" s="62"/>
      <c r="D923" s="57"/>
      <c r="E923" s="57"/>
    </row>
    <row r="924" spans="1:5" ht="299.5" thickBot="1" x14ac:dyDescent="0.3">
      <c r="A924" s="23">
        <v>45663</v>
      </c>
      <c r="B924" s="24"/>
      <c r="C924" s="63" t="s">
        <v>1028</v>
      </c>
      <c r="D924" s="57"/>
      <c r="E924" s="57"/>
    </row>
    <row r="925" spans="1:5" ht="16" thickBot="1" x14ac:dyDescent="0.3">
      <c r="A925" s="64">
        <v>36897</v>
      </c>
      <c r="B925" s="28"/>
      <c r="C925" s="40" t="e">
        <f>- těžká hyperkinetická dysfonie</f>
        <v>#NAME?</v>
      </c>
      <c r="D925" s="57"/>
      <c r="E925" s="57" t="s">
        <v>1029</v>
      </c>
    </row>
    <row r="926" spans="1:5" ht="16" thickBot="1" x14ac:dyDescent="0.3">
      <c r="A926" s="64">
        <v>37262</v>
      </c>
      <c r="B926" s="28"/>
      <c r="C926" s="40" t="e">
        <f>- uzlíky na hlasivkách</f>
        <v>#NAME?</v>
      </c>
      <c r="D926" s="57"/>
      <c r="E926" s="57" t="s">
        <v>1030</v>
      </c>
    </row>
    <row r="927" spans="1:5" ht="16" thickBot="1" x14ac:dyDescent="0.3">
      <c r="A927" s="64">
        <v>37627</v>
      </c>
      <c r="B927" s="28"/>
      <c r="C927" s="40" t="e">
        <f>- těžká nedomykavost hlasivek</f>
        <v>#NAME?</v>
      </c>
      <c r="D927" s="57"/>
      <c r="E927" s="57" t="s">
        <v>1031</v>
      </c>
    </row>
    <row r="928" spans="1:5" ht="16" thickBot="1" x14ac:dyDescent="0.3">
      <c r="A928" s="64">
        <v>37992</v>
      </c>
      <c r="B928" s="28"/>
      <c r="C928" s="40" t="e">
        <f>- těžká fonastenie</f>
        <v>#NAME?</v>
      </c>
      <c r="D928" s="57"/>
      <c r="E928" s="57" t="s">
        <v>1029</v>
      </c>
    </row>
    <row r="929" spans="1:5" ht="15.5" x14ac:dyDescent="0.35">
      <c r="A929" s="74" t="s">
        <v>1032</v>
      </c>
      <c r="B929" s="56"/>
      <c r="C929" s="57"/>
      <c r="D929" s="57"/>
      <c r="E929" s="57"/>
    </row>
    <row r="930" spans="1:5" ht="31.5" thickBot="1" x14ac:dyDescent="0.4">
      <c r="A930" s="10" t="s">
        <v>1033</v>
      </c>
      <c r="B930" s="56"/>
      <c r="C930" s="57"/>
      <c r="D930" s="57"/>
      <c r="E930" s="57"/>
    </row>
    <row r="931" spans="1:5" ht="28.5" thickBot="1" x14ac:dyDescent="0.3">
      <c r="A931" s="75" t="s">
        <v>86</v>
      </c>
      <c r="B931" s="59" t="s">
        <v>87</v>
      </c>
      <c r="C931" s="76"/>
      <c r="D931" s="77" t="s">
        <v>88</v>
      </c>
      <c r="E931" s="57"/>
    </row>
    <row r="932" spans="1:5" ht="16" thickBot="1" x14ac:dyDescent="0.3">
      <c r="A932" s="64" t="s">
        <v>89</v>
      </c>
      <c r="B932" s="65" t="s">
        <v>1034</v>
      </c>
      <c r="C932" s="78"/>
      <c r="D932" s="66"/>
      <c r="E932" s="57"/>
    </row>
    <row r="933" spans="1:5" ht="16" thickBot="1" x14ac:dyDescent="0.3">
      <c r="A933" s="23">
        <v>45658</v>
      </c>
      <c r="B933" s="28" t="s">
        <v>1035</v>
      </c>
      <c r="C933" s="63"/>
      <c r="D933" s="79">
        <v>800</v>
      </c>
      <c r="E933" s="57"/>
    </row>
    <row r="934" spans="1:5" ht="28.5" thickBot="1" x14ac:dyDescent="0.3">
      <c r="A934" s="23">
        <v>45689</v>
      </c>
      <c r="B934" s="28" t="s">
        <v>1036</v>
      </c>
      <c r="C934" s="63"/>
      <c r="D934" s="79" t="s">
        <v>1037</v>
      </c>
      <c r="E934" s="57"/>
    </row>
    <row r="935" spans="1:5" ht="16" thickBot="1" x14ac:dyDescent="0.3">
      <c r="A935" s="23">
        <v>45717</v>
      </c>
      <c r="B935" s="28" t="s">
        <v>1038</v>
      </c>
      <c r="C935" s="63"/>
      <c r="D935" s="79" t="s">
        <v>303</v>
      </c>
      <c r="E935" s="57"/>
    </row>
    <row r="936" spans="1:5" ht="16" thickBot="1" x14ac:dyDescent="0.3">
      <c r="A936" s="23">
        <v>45748</v>
      </c>
      <c r="B936" s="28" t="s">
        <v>1039</v>
      </c>
      <c r="C936" s="63"/>
      <c r="D936" s="79" t="s">
        <v>1040</v>
      </c>
      <c r="E936" s="57"/>
    </row>
    <row r="937" spans="1:5" ht="28.5" thickBot="1" x14ac:dyDescent="0.3">
      <c r="A937" s="23">
        <v>45778</v>
      </c>
      <c r="B937" s="28" t="s">
        <v>1041</v>
      </c>
      <c r="C937" s="63"/>
      <c r="D937" s="79" t="s">
        <v>1042</v>
      </c>
      <c r="E937" s="57"/>
    </row>
    <row r="938" spans="1:5" ht="16" thickBot="1" x14ac:dyDescent="0.3">
      <c r="A938" s="23">
        <v>45809</v>
      </c>
      <c r="B938" s="28" t="s">
        <v>1043</v>
      </c>
      <c r="C938" s="63"/>
      <c r="D938" s="79">
        <v>400</v>
      </c>
      <c r="E938" s="57"/>
    </row>
    <row r="939" spans="1:5" ht="96.65" customHeight="1" thickBot="1" x14ac:dyDescent="0.3">
      <c r="A939" s="72"/>
      <c r="B939" s="61" t="s">
        <v>1044</v>
      </c>
      <c r="C939" s="80"/>
      <c r="D939" s="62"/>
      <c r="E939" s="57"/>
    </row>
    <row r="940" spans="1:5" ht="16" thickBot="1" x14ac:dyDescent="0.3">
      <c r="A940" s="23">
        <v>45839</v>
      </c>
      <c r="B940" s="28" t="e">
        <f>- lehké</f>
        <v>#NAME?</v>
      </c>
      <c r="C940" s="63"/>
      <c r="D940" s="79">
        <v>800</v>
      </c>
      <c r="E940" s="57"/>
    </row>
    <row r="941" spans="1:5" ht="16" thickBot="1" x14ac:dyDescent="0.3">
      <c r="A941" s="23">
        <v>45870</v>
      </c>
      <c r="B941" s="28" t="e">
        <f>- středně těžké</f>
        <v>#NAME?</v>
      </c>
      <c r="C941" s="63"/>
      <c r="D941" s="79">
        <v>2000</v>
      </c>
      <c r="E941" s="57"/>
    </row>
    <row r="942" spans="1:5" ht="16" thickBot="1" x14ac:dyDescent="0.3">
      <c r="A942" s="23">
        <v>45901</v>
      </c>
      <c r="B942" s="28" t="e">
        <f>- těžké</f>
        <v>#NAME?</v>
      </c>
      <c r="C942" s="63"/>
      <c r="D942" s="79">
        <v>2600</v>
      </c>
      <c r="E942" s="57"/>
    </row>
    <row r="943" spans="1:5" ht="16" thickBot="1" x14ac:dyDescent="0.3">
      <c r="A943" s="23">
        <v>45931</v>
      </c>
      <c r="B943" s="28" t="e">
        <f>- zvlášť těžké</f>
        <v>#NAME?</v>
      </c>
      <c r="C943" s="63"/>
      <c r="D943" s="79">
        <v>3000</v>
      </c>
      <c r="E943" s="57"/>
    </row>
    <row r="944" spans="1:5" ht="16" thickBot="1" x14ac:dyDescent="0.3">
      <c r="A944" s="23">
        <v>45962</v>
      </c>
      <c r="B944" s="28" t="s">
        <v>1045</v>
      </c>
      <c r="C944" s="63"/>
      <c r="D944" s="79">
        <v>6000</v>
      </c>
      <c r="E944" s="57"/>
    </row>
    <row r="945" spans="1:5" ht="165.65" customHeight="1" thickBot="1" x14ac:dyDescent="0.3">
      <c r="A945" s="44"/>
      <c r="B945" s="61" t="s">
        <v>1046</v>
      </c>
      <c r="C945" s="80"/>
      <c r="D945" s="62"/>
      <c r="E945" s="57"/>
    </row>
    <row r="946" spans="1:5" ht="16" thickBot="1" x14ac:dyDescent="0.3">
      <c r="A946" s="23">
        <v>45992</v>
      </c>
      <c r="B946" s="28" t="e">
        <f>- lehkého stupně</f>
        <v>#NAME?</v>
      </c>
      <c r="C946" s="63"/>
      <c r="D946" s="79">
        <v>800</v>
      </c>
      <c r="E946" s="57"/>
    </row>
    <row r="947" spans="1:5" ht="16" thickBot="1" x14ac:dyDescent="0.3">
      <c r="A947" s="41">
        <v>41275</v>
      </c>
      <c r="B947" s="28" t="e">
        <f>- středně těžkého stupně</f>
        <v>#NAME?</v>
      </c>
      <c r="C947" s="63"/>
      <c r="D947" s="79">
        <v>1200</v>
      </c>
      <c r="E947" s="57"/>
    </row>
    <row r="948" spans="1:5" ht="16" thickBot="1" x14ac:dyDescent="0.3">
      <c r="A948" s="41">
        <v>41640</v>
      </c>
      <c r="B948" s="28" t="e">
        <f>- těžkého stupně</f>
        <v>#NAME?</v>
      </c>
      <c r="C948" s="63"/>
      <c r="D948" s="79">
        <v>1800</v>
      </c>
      <c r="E948" s="57"/>
    </row>
    <row r="949" spans="1:5" ht="16" thickBot="1" x14ac:dyDescent="0.3">
      <c r="A949" s="41">
        <v>42005</v>
      </c>
      <c r="B949" s="28" t="e">
        <f>- zvláště těžkého stupně</f>
        <v>#NAME?</v>
      </c>
      <c r="C949" s="63"/>
      <c r="D949" s="79">
        <v>3000</v>
      </c>
      <c r="E949" s="57"/>
    </row>
    <row r="950" spans="1:5" ht="31.5" thickBot="1" x14ac:dyDescent="0.3">
      <c r="A950" s="41">
        <v>42370</v>
      </c>
      <c r="B950" s="28" t="s">
        <v>1047</v>
      </c>
      <c r="C950" s="63"/>
      <c r="D950" s="79" t="s">
        <v>1048</v>
      </c>
      <c r="E950" s="57"/>
    </row>
    <row r="951" spans="1:5" ht="31.5" thickBot="1" x14ac:dyDescent="0.3">
      <c r="A951" s="41">
        <v>42736</v>
      </c>
      <c r="B951" s="28" t="s">
        <v>1049</v>
      </c>
      <c r="C951" s="63"/>
      <c r="D951" s="79">
        <v>420</v>
      </c>
      <c r="E951" s="57"/>
    </row>
    <row r="952" spans="1:5" ht="16" thickBot="1" x14ac:dyDescent="0.3">
      <c r="A952" s="41">
        <v>43101</v>
      </c>
      <c r="B952" s="28" t="s">
        <v>1050</v>
      </c>
      <c r="C952" s="63"/>
      <c r="D952" s="79">
        <v>300</v>
      </c>
      <c r="E952" s="57"/>
    </row>
    <row r="953" spans="1:5" ht="16" thickBot="1" x14ac:dyDescent="0.3">
      <c r="A953" s="41">
        <v>43466</v>
      </c>
      <c r="B953" s="28" t="s">
        <v>1051</v>
      </c>
      <c r="C953" s="63"/>
      <c r="D953" s="79">
        <v>1200</v>
      </c>
      <c r="E953" s="57"/>
    </row>
    <row r="954" spans="1:5" ht="28.5" thickBot="1" x14ac:dyDescent="0.3">
      <c r="A954" s="41">
        <v>43831</v>
      </c>
      <c r="B954" s="28" t="s">
        <v>1052</v>
      </c>
      <c r="C954" s="63"/>
      <c r="D954" s="79" t="s">
        <v>1053</v>
      </c>
      <c r="E954" s="57"/>
    </row>
    <row r="955" spans="1:5" ht="82.9" customHeight="1" thickBot="1" x14ac:dyDescent="0.3">
      <c r="A955" s="72"/>
      <c r="B955" s="61" t="s">
        <v>1054</v>
      </c>
      <c r="C955" s="80"/>
      <c r="D955" s="62"/>
      <c r="E955" s="57"/>
    </row>
    <row r="956" spans="1:5" ht="16" thickBot="1" x14ac:dyDescent="0.3">
      <c r="A956" s="41">
        <v>44197</v>
      </c>
      <c r="B956" s="28" t="e">
        <f>- lehkého stupně</f>
        <v>#NAME?</v>
      </c>
      <c r="C956" s="63"/>
      <c r="D956" s="79">
        <v>400</v>
      </c>
      <c r="E956" s="57"/>
    </row>
    <row r="957" spans="1:5" ht="16" thickBot="1" x14ac:dyDescent="0.3">
      <c r="A957" s="41">
        <v>44562</v>
      </c>
      <c r="B957" s="28" t="e">
        <f>- středně těžkého stupně</f>
        <v>#NAME?</v>
      </c>
      <c r="C957" s="63"/>
      <c r="D957" s="79">
        <v>800</v>
      </c>
      <c r="E957" s="57"/>
    </row>
    <row r="958" spans="1:5" ht="16" thickBot="1" x14ac:dyDescent="0.3">
      <c r="A958" s="41">
        <v>44927</v>
      </c>
      <c r="B958" s="28" t="e">
        <f>- těžkého stupně</f>
        <v>#NAME?</v>
      </c>
      <c r="C958" s="63"/>
      <c r="D958" s="79">
        <v>1200</v>
      </c>
      <c r="E958" s="57"/>
    </row>
    <row r="959" spans="1:5" ht="16" thickBot="1" x14ac:dyDescent="0.3">
      <c r="A959" s="41">
        <v>45292</v>
      </c>
      <c r="B959" s="28" t="s">
        <v>1055</v>
      </c>
      <c r="C959" s="63"/>
      <c r="D959" s="79">
        <v>600</v>
      </c>
      <c r="E959" s="57"/>
    </row>
    <row r="960" spans="1:5" ht="16" thickBot="1" x14ac:dyDescent="0.3">
      <c r="A960" s="41">
        <v>45658</v>
      </c>
      <c r="B960" s="28" t="s">
        <v>1056</v>
      </c>
      <c r="C960" s="63"/>
      <c r="D960" s="79">
        <v>1000</v>
      </c>
      <c r="E960" s="57"/>
    </row>
    <row r="961" spans="1:5" ht="16" thickBot="1" x14ac:dyDescent="0.3">
      <c r="A961" s="41">
        <v>46023</v>
      </c>
      <c r="B961" s="28" t="s">
        <v>1057</v>
      </c>
      <c r="C961" s="63"/>
      <c r="D961" s="79">
        <v>1000</v>
      </c>
      <c r="E961" s="57"/>
    </row>
    <row r="962" spans="1:5" ht="16" thickBot="1" x14ac:dyDescent="0.3">
      <c r="A962" s="41">
        <v>46388</v>
      </c>
      <c r="B962" s="28" t="s">
        <v>1058</v>
      </c>
      <c r="C962" s="63"/>
      <c r="D962" s="79">
        <v>500</v>
      </c>
      <c r="E962" s="57"/>
    </row>
    <row r="963" spans="1:5" ht="16" thickBot="1" x14ac:dyDescent="0.3">
      <c r="A963" s="41">
        <v>46753</v>
      </c>
      <c r="B963" s="28" t="s">
        <v>1059</v>
      </c>
      <c r="C963" s="63"/>
      <c r="D963" s="79">
        <v>900</v>
      </c>
      <c r="E963" s="57"/>
    </row>
    <row r="964" spans="1:5" ht="16" thickBot="1" x14ac:dyDescent="0.3">
      <c r="A964" s="41">
        <v>47119</v>
      </c>
      <c r="B964" s="28" t="s">
        <v>1060</v>
      </c>
      <c r="C964" s="63"/>
      <c r="D964" s="79">
        <v>1100</v>
      </c>
      <c r="E964" s="57"/>
    </row>
    <row r="965" spans="1:5" ht="16" thickBot="1" x14ac:dyDescent="0.3">
      <c r="A965" s="41">
        <v>10959</v>
      </c>
      <c r="B965" s="28" t="s">
        <v>1061</v>
      </c>
      <c r="C965" s="63"/>
      <c r="D965" s="79">
        <v>400</v>
      </c>
      <c r="E965" s="57"/>
    </row>
    <row r="966" spans="1:5" ht="16" thickBot="1" x14ac:dyDescent="0.3">
      <c r="A966" s="41">
        <v>11324</v>
      </c>
      <c r="B966" s="28" t="s">
        <v>1062</v>
      </c>
      <c r="C966" s="63"/>
      <c r="D966" s="79">
        <v>160</v>
      </c>
      <c r="E966" s="57"/>
    </row>
    <row r="967" spans="1:5" ht="16" thickBot="1" x14ac:dyDescent="0.3">
      <c r="A967" s="49" t="s">
        <v>114</v>
      </c>
      <c r="B967" s="65" t="s">
        <v>1063</v>
      </c>
      <c r="C967" s="78"/>
      <c r="D967" s="66"/>
      <c r="E967" s="57"/>
    </row>
    <row r="968" spans="1:5" ht="28.5" thickBot="1" x14ac:dyDescent="0.3">
      <c r="A968" s="23">
        <v>45659</v>
      </c>
      <c r="B968" s="28" t="s">
        <v>1064</v>
      </c>
      <c r="C968" s="63"/>
      <c r="D968" s="79" t="s">
        <v>1065</v>
      </c>
      <c r="E968" s="57"/>
    </row>
    <row r="969" spans="1:5" ht="16" thickBot="1" x14ac:dyDescent="0.3">
      <c r="A969" s="44"/>
      <c r="B969" s="61" t="s">
        <v>1066</v>
      </c>
      <c r="C969" s="80"/>
      <c r="D969" s="62"/>
      <c r="E969" s="57"/>
    </row>
    <row r="970" spans="1:5" ht="16" thickBot="1" x14ac:dyDescent="0.3">
      <c r="A970" s="23">
        <v>45690</v>
      </c>
      <c r="B970" s="28" t="e">
        <f>- kompenzována artefakií</f>
        <v>#NAME?</v>
      </c>
      <c r="C970" s="63"/>
      <c r="D970" s="79">
        <v>600</v>
      </c>
      <c r="E970" s="57"/>
    </row>
    <row r="971" spans="1:5" ht="16" thickBot="1" x14ac:dyDescent="0.3">
      <c r="A971" s="23">
        <v>45718</v>
      </c>
      <c r="B971" s="28" t="e">
        <f>- kompenzována kontaktní čočkou</f>
        <v>#NAME?</v>
      </c>
      <c r="C971" s="63"/>
      <c r="D971" s="79">
        <v>800</v>
      </c>
      <c r="E971" s="57"/>
    </row>
    <row r="972" spans="1:5" ht="16" thickBot="1" x14ac:dyDescent="0.3">
      <c r="A972" s="23">
        <v>45749</v>
      </c>
      <c r="B972" s="28" t="e">
        <f>- kompenzována snesitelnou brýlovou korekcí</f>
        <v>#NAME?</v>
      </c>
      <c r="C972" s="63"/>
      <c r="D972" s="79">
        <v>1000</v>
      </c>
      <c r="E972" s="57"/>
    </row>
    <row r="973" spans="1:5" ht="31.5" thickBot="1" x14ac:dyDescent="0.3">
      <c r="A973" s="23">
        <v>45779</v>
      </c>
      <c r="B973" s="28" t="s">
        <v>1067</v>
      </c>
      <c r="C973" s="63"/>
      <c r="D973" s="63"/>
      <c r="E973" s="57"/>
    </row>
    <row r="974" spans="1:5" ht="27.65" customHeight="1" thickBot="1" x14ac:dyDescent="0.3">
      <c r="A974" s="53"/>
      <c r="B974" s="61" t="s">
        <v>1068</v>
      </c>
      <c r="C974" s="80"/>
      <c r="D974" s="62"/>
      <c r="E974" s="57"/>
    </row>
    <row r="975" spans="1:5" ht="16" thickBot="1" x14ac:dyDescent="0.3">
      <c r="A975" s="23">
        <v>45810</v>
      </c>
      <c r="B975" s="28" t="e">
        <f>- s dvojitým viděním svisle</f>
        <v>#NAME?</v>
      </c>
      <c r="C975" s="63"/>
      <c r="D975" s="79">
        <v>1200</v>
      </c>
      <c r="E975" s="57"/>
    </row>
    <row r="976" spans="1:5" ht="16" thickBot="1" x14ac:dyDescent="0.3">
      <c r="A976" s="23">
        <v>45840</v>
      </c>
      <c r="B976" s="28" t="e">
        <f>- s dvojitým viděním vodorovně</f>
        <v>#NAME?</v>
      </c>
      <c r="C976" s="63"/>
      <c r="D976" s="79">
        <v>800</v>
      </c>
      <c r="E976" s="57"/>
    </row>
    <row r="977" spans="1:5" ht="16" thickBot="1" x14ac:dyDescent="0.3">
      <c r="A977" s="23">
        <v>45871</v>
      </c>
      <c r="B977" s="28" t="e">
        <f>- s dvojitým viděním jen při určitém pohledu</f>
        <v>#NAME?</v>
      </c>
      <c r="C977" s="63"/>
      <c r="D977" s="79">
        <v>400</v>
      </c>
      <c r="E977" s="57"/>
    </row>
    <row r="978" spans="1:5" ht="16" thickBot="1" x14ac:dyDescent="0.3">
      <c r="A978" s="23">
        <v>45902</v>
      </c>
      <c r="B978" s="28" t="s">
        <v>1069</v>
      </c>
      <c r="C978" s="63"/>
      <c r="D978" s="63"/>
      <c r="E978" s="57"/>
    </row>
    <row r="979" spans="1:5" ht="16" thickBot="1" x14ac:dyDescent="0.3">
      <c r="A979" s="44"/>
      <c r="B979" s="28" t="s">
        <v>1070</v>
      </c>
      <c r="C979" s="63"/>
      <c r="D979" s="63"/>
      <c r="E979" s="57"/>
    </row>
    <row r="980" spans="1:5" ht="16" thickBot="1" x14ac:dyDescent="0.3">
      <c r="A980" s="23">
        <v>45932</v>
      </c>
      <c r="B980" s="28" t="e">
        <f>- v oblasti horního víčka</f>
        <v>#NAME?</v>
      </c>
      <c r="C980" s="63"/>
      <c r="D980" s="79">
        <v>100</v>
      </c>
      <c r="E980" s="57"/>
    </row>
    <row r="981" spans="1:5" ht="16" thickBot="1" x14ac:dyDescent="0.3">
      <c r="A981" s="23">
        <v>45963</v>
      </c>
      <c r="B981" s="28" t="e">
        <f>- v oblasti dolního víčka nebo níže</f>
        <v>#NAME?</v>
      </c>
      <c r="C981" s="63"/>
      <c r="D981" s="79">
        <v>400</v>
      </c>
      <c r="E981" s="57"/>
    </row>
    <row r="982" spans="1:5" ht="16" thickBot="1" x14ac:dyDescent="0.3">
      <c r="A982" s="23">
        <v>45993</v>
      </c>
      <c r="B982" s="28" t="s">
        <v>1071</v>
      </c>
      <c r="C982" s="63"/>
      <c r="D982" s="79">
        <v>200</v>
      </c>
      <c r="E982" s="57"/>
    </row>
    <row r="983" spans="1:5" ht="16" thickBot="1" x14ac:dyDescent="0.3">
      <c r="A983" s="41">
        <v>41306</v>
      </c>
      <c r="B983" s="28" t="s">
        <v>1072</v>
      </c>
      <c r="C983" s="63"/>
      <c r="D983" s="79">
        <v>200</v>
      </c>
      <c r="E983" s="57"/>
    </row>
    <row r="984" spans="1:5" ht="27.65" customHeight="1" thickBot="1" x14ac:dyDescent="0.3">
      <c r="A984" s="72"/>
      <c r="B984" s="61" t="s">
        <v>1073</v>
      </c>
      <c r="C984" s="80"/>
      <c r="D984" s="62"/>
      <c r="E984" s="57"/>
    </row>
    <row r="985" spans="1:5" ht="16" thickBot="1" x14ac:dyDescent="0.3">
      <c r="A985" s="41">
        <v>41671</v>
      </c>
      <c r="B985" s="28" t="s">
        <v>1074</v>
      </c>
      <c r="C985" s="63"/>
      <c r="D985" s="79">
        <v>360</v>
      </c>
      <c r="E985" s="57"/>
    </row>
    <row r="986" spans="1:5" ht="16" thickBot="1" x14ac:dyDescent="0.3">
      <c r="A986" s="41">
        <v>42036</v>
      </c>
      <c r="B986" s="28" t="s">
        <v>1075</v>
      </c>
      <c r="C986" s="63"/>
      <c r="D986" s="79">
        <v>340</v>
      </c>
      <c r="E986" s="57"/>
    </row>
    <row r="987" spans="1:5" ht="16" thickBot="1" x14ac:dyDescent="0.3">
      <c r="A987" s="41">
        <v>42401</v>
      </c>
      <c r="B987" s="28" t="s">
        <v>1076</v>
      </c>
      <c r="C987" s="63"/>
      <c r="D987" s="79">
        <v>320</v>
      </c>
      <c r="E987" s="57"/>
    </row>
    <row r="988" spans="1:5" ht="16" thickBot="1" x14ac:dyDescent="0.3">
      <c r="A988" s="41">
        <v>42767</v>
      </c>
      <c r="B988" s="28" t="s">
        <v>1077</v>
      </c>
      <c r="C988" s="63"/>
      <c r="D988" s="79">
        <v>600</v>
      </c>
      <c r="E988" s="57"/>
    </row>
    <row r="989" spans="1:5" ht="16" thickBot="1" x14ac:dyDescent="0.3">
      <c r="A989" s="41">
        <v>43132</v>
      </c>
      <c r="B989" s="28" t="s">
        <v>1078</v>
      </c>
      <c r="C989" s="63"/>
      <c r="D989" s="79">
        <v>420</v>
      </c>
      <c r="E989" s="57"/>
    </row>
    <row r="990" spans="1:5" ht="16" thickBot="1" x14ac:dyDescent="0.3">
      <c r="A990" s="41">
        <v>43497</v>
      </c>
      <c r="B990" s="28" t="s">
        <v>1079</v>
      </c>
      <c r="C990" s="63"/>
      <c r="D990" s="79">
        <v>800</v>
      </c>
      <c r="E990" s="57"/>
    </row>
    <row r="991" spans="1:5" ht="27.65" customHeight="1" thickBot="1" x14ac:dyDescent="0.3">
      <c r="A991" s="64" t="s">
        <v>133</v>
      </c>
      <c r="B991" s="65" t="s">
        <v>1080</v>
      </c>
      <c r="C991" s="78"/>
      <c r="D991" s="66"/>
      <c r="E991" s="57"/>
    </row>
    <row r="992" spans="1:5" ht="16" thickBot="1" x14ac:dyDescent="0.3">
      <c r="A992" s="23">
        <v>45660</v>
      </c>
      <c r="B992" s="28" t="s">
        <v>1081</v>
      </c>
      <c r="C992" s="63"/>
      <c r="D992" s="79">
        <v>420</v>
      </c>
      <c r="E992" s="57"/>
    </row>
    <row r="993" spans="1:5" ht="16" thickBot="1" x14ac:dyDescent="0.3">
      <c r="A993" s="23">
        <v>45691</v>
      </c>
      <c r="B993" s="28" t="s">
        <v>1082</v>
      </c>
      <c r="C993" s="63"/>
      <c r="D993" s="79">
        <v>680</v>
      </c>
      <c r="E993" s="57"/>
    </row>
    <row r="994" spans="1:5" ht="16" thickBot="1" x14ac:dyDescent="0.3">
      <c r="A994" s="23">
        <v>45719</v>
      </c>
      <c r="B994" s="28" t="s">
        <v>1083</v>
      </c>
      <c r="C994" s="63"/>
      <c r="D994" s="79">
        <v>600</v>
      </c>
      <c r="E994" s="57"/>
    </row>
    <row r="995" spans="1:5" ht="16" thickBot="1" x14ac:dyDescent="0.3">
      <c r="A995" s="23">
        <v>45750</v>
      </c>
      <c r="B995" s="28" t="s">
        <v>1084</v>
      </c>
      <c r="C995" s="63"/>
      <c r="D995" s="79">
        <v>340</v>
      </c>
      <c r="E995" s="57"/>
    </row>
    <row r="996" spans="1:5" ht="16" thickBot="1" x14ac:dyDescent="0.3">
      <c r="A996" s="23">
        <v>45780</v>
      </c>
      <c r="B996" s="28" t="s">
        <v>1085</v>
      </c>
      <c r="C996" s="63"/>
      <c r="D996" s="79">
        <v>700</v>
      </c>
      <c r="E996" s="57"/>
    </row>
    <row r="997" spans="1:5" ht="55.15" customHeight="1" thickBot="1" x14ac:dyDescent="0.3">
      <c r="A997" s="53"/>
      <c r="B997" s="61" t="s">
        <v>1086</v>
      </c>
      <c r="C997" s="80"/>
      <c r="D997" s="62"/>
      <c r="E997" s="57"/>
    </row>
    <row r="998" spans="1:5" ht="16" thickBot="1" x14ac:dyDescent="0.3">
      <c r="A998" s="23">
        <v>45811</v>
      </c>
      <c r="B998" s="28" t="e">
        <f>- lehčího až středně těžkého stupně</f>
        <v>#NAME?</v>
      </c>
      <c r="C998" s="63"/>
      <c r="D998" s="79" t="s">
        <v>1087</v>
      </c>
      <c r="E998" s="57"/>
    </row>
    <row r="999" spans="1:5" ht="16" thickBot="1" x14ac:dyDescent="0.3">
      <c r="A999" s="23">
        <v>45841</v>
      </c>
      <c r="B999" s="28" t="e">
        <f>- těžkého stupně</f>
        <v>#NAME?</v>
      </c>
      <c r="C999" s="63"/>
      <c r="D999" s="79">
        <v>800</v>
      </c>
      <c r="E999" s="57"/>
    </row>
    <row r="1000" spans="1:5" ht="16" thickBot="1" x14ac:dyDescent="0.3">
      <c r="A1000" s="23">
        <v>45872</v>
      </c>
      <c r="B1000" s="28" t="e">
        <f>- velmi těžkého stupně</f>
        <v>#NAME?</v>
      </c>
      <c r="C1000" s="63"/>
      <c r="D1000" s="79">
        <v>1600</v>
      </c>
      <c r="E1000" s="57"/>
    </row>
    <row r="1001" spans="1:5" ht="41.5" customHeight="1" thickBot="1" x14ac:dyDescent="0.3">
      <c r="A1001" s="44"/>
      <c r="B1001" s="61" t="s">
        <v>1088</v>
      </c>
      <c r="C1001" s="80"/>
      <c r="D1001" s="62"/>
      <c r="E1001" s="57"/>
    </row>
    <row r="1002" spans="1:5" ht="16" thickBot="1" x14ac:dyDescent="0.3">
      <c r="A1002" s="23">
        <v>45903</v>
      </c>
      <c r="B1002" s="28" t="e">
        <f>- středně těžkého stupně</f>
        <v>#NAME?</v>
      </c>
      <c r="C1002" s="63"/>
      <c r="D1002" s="79">
        <v>800</v>
      </c>
      <c r="E1002" s="57"/>
    </row>
    <row r="1003" spans="1:5" ht="16" thickBot="1" x14ac:dyDescent="0.3">
      <c r="A1003" s="23">
        <v>45933</v>
      </c>
      <c r="B1003" s="28" t="e">
        <f>- těžkého stupně</f>
        <v>#NAME?</v>
      </c>
      <c r="C1003" s="63"/>
      <c r="D1003" s="79">
        <v>1600</v>
      </c>
      <c r="E1003" s="57"/>
    </row>
    <row r="1004" spans="1:5" ht="16" thickBot="1" x14ac:dyDescent="0.3">
      <c r="A1004" s="23">
        <v>45964</v>
      </c>
      <c r="B1004" s="28" t="e">
        <f>- velmi těžkého stupně</f>
        <v>#NAME?</v>
      </c>
      <c r="C1004" s="63"/>
      <c r="D1004" s="79">
        <v>3000</v>
      </c>
      <c r="E1004" s="57"/>
    </row>
    <row r="1005" spans="1:5" ht="16" thickBot="1" x14ac:dyDescent="0.3">
      <c r="A1005" s="44"/>
      <c r="B1005" s="28" t="s">
        <v>1089</v>
      </c>
      <c r="C1005" s="63"/>
      <c r="D1005" s="63"/>
      <c r="E1005" s="57"/>
    </row>
    <row r="1006" spans="1:5" ht="31.5" thickBot="1" x14ac:dyDescent="0.3">
      <c r="A1006" s="23">
        <v>45994</v>
      </c>
      <c r="B1006" s="28" t="s">
        <v>1090</v>
      </c>
      <c r="C1006" s="63"/>
      <c r="D1006" s="79">
        <v>2000</v>
      </c>
      <c r="E1006" s="57"/>
    </row>
    <row r="1007" spans="1:5" ht="31.5" thickBot="1" x14ac:dyDescent="0.3">
      <c r="A1007" s="41">
        <v>41334</v>
      </c>
      <c r="B1007" s="28" t="s">
        <v>1091</v>
      </c>
      <c r="C1007" s="63"/>
      <c r="D1007" s="79" t="s">
        <v>1092</v>
      </c>
      <c r="E1007" s="57"/>
    </row>
    <row r="1008" spans="1:5" ht="31.5" thickBot="1" x14ac:dyDescent="0.3">
      <c r="A1008" s="41">
        <v>41699</v>
      </c>
      <c r="B1008" s="28" t="s">
        <v>1093</v>
      </c>
      <c r="C1008" s="63"/>
      <c r="D1008" s="79">
        <v>4000</v>
      </c>
      <c r="E1008" s="57"/>
    </row>
    <row r="1009" spans="1:5" ht="31.5" thickBot="1" x14ac:dyDescent="0.3">
      <c r="A1009" s="41">
        <v>42064</v>
      </c>
      <c r="B1009" s="28" t="s">
        <v>1094</v>
      </c>
      <c r="C1009" s="63"/>
      <c r="D1009" s="79">
        <v>1000</v>
      </c>
      <c r="E1009" s="57"/>
    </row>
    <row r="1010" spans="1:5" ht="16" thickBot="1" x14ac:dyDescent="0.3">
      <c r="A1010" s="41">
        <v>42430</v>
      </c>
      <c r="B1010" s="28" t="s">
        <v>1095</v>
      </c>
      <c r="C1010" s="63"/>
      <c r="D1010" s="79">
        <v>600</v>
      </c>
      <c r="E1010" s="57"/>
    </row>
    <row r="1011" spans="1:5" ht="16" thickBot="1" x14ac:dyDescent="0.3">
      <c r="A1011" s="23" t="s">
        <v>153</v>
      </c>
      <c r="B1011" s="65" t="s">
        <v>1096</v>
      </c>
      <c r="C1011" s="78"/>
      <c r="D1011" s="66"/>
      <c r="E1011" s="57"/>
    </row>
    <row r="1012" spans="1:5" ht="31.5" thickBot="1" x14ac:dyDescent="0.3">
      <c r="A1012" s="23">
        <v>45661</v>
      </c>
      <c r="B1012" s="28" t="s">
        <v>1097</v>
      </c>
      <c r="C1012" s="63"/>
      <c r="D1012" s="79">
        <v>40</v>
      </c>
      <c r="E1012" s="57"/>
    </row>
    <row r="1013" spans="1:5" ht="28.5" thickBot="1" x14ac:dyDescent="0.3">
      <c r="A1013" s="23">
        <v>45692</v>
      </c>
      <c r="B1013" s="28" t="s">
        <v>1098</v>
      </c>
      <c r="C1013" s="63"/>
      <c r="D1013" s="79" t="s">
        <v>1099</v>
      </c>
      <c r="E1013" s="57"/>
    </row>
    <row r="1014" spans="1:5" ht="16" thickBot="1" x14ac:dyDescent="0.3">
      <c r="A1014" s="23">
        <v>45720</v>
      </c>
      <c r="B1014" s="28" t="s">
        <v>1100</v>
      </c>
      <c r="C1014" s="63"/>
      <c r="D1014" s="79">
        <v>30</v>
      </c>
      <c r="E1014" s="57"/>
    </row>
    <row r="1015" spans="1:5" ht="28.5" thickBot="1" x14ac:dyDescent="0.3">
      <c r="A1015" s="23">
        <v>45751</v>
      </c>
      <c r="B1015" s="28" t="s">
        <v>1101</v>
      </c>
      <c r="C1015" s="63"/>
      <c r="D1015" s="79" t="s">
        <v>1102</v>
      </c>
      <c r="E1015" s="57"/>
    </row>
    <row r="1016" spans="1:5" ht="16" thickBot="1" x14ac:dyDescent="0.3">
      <c r="A1016" s="23">
        <v>45781</v>
      </c>
      <c r="B1016" s="28" t="s">
        <v>1103</v>
      </c>
      <c r="C1016" s="63"/>
      <c r="D1016" s="79">
        <v>2000</v>
      </c>
      <c r="E1016" s="57"/>
    </row>
    <row r="1017" spans="1:5" ht="31.5" thickBot="1" x14ac:dyDescent="0.3">
      <c r="A1017" s="23">
        <v>45812</v>
      </c>
      <c r="B1017" s="28" t="s">
        <v>1104</v>
      </c>
      <c r="C1017" s="63"/>
      <c r="D1017" s="79">
        <v>400</v>
      </c>
      <c r="E1017" s="57"/>
    </row>
    <row r="1018" spans="1:5" ht="16" thickBot="1" x14ac:dyDescent="0.3">
      <c r="A1018" s="48"/>
      <c r="B1018" s="61" t="s">
        <v>1105</v>
      </c>
      <c r="C1018" s="80"/>
      <c r="D1018" s="62"/>
      <c r="E1018" s="57"/>
    </row>
    <row r="1019" spans="1:5" ht="28.5" thickBot="1" x14ac:dyDescent="0.3">
      <c r="A1019" s="23">
        <v>45842</v>
      </c>
      <c r="B1019" s="28" t="s">
        <v>1106</v>
      </c>
      <c r="C1019" s="63"/>
      <c r="D1019" s="79" t="s">
        <v>1107</v>
      </c>
      <c r="E1019" s="57"/>
    </row>
    <row r="1020" spans="1:5" ht="16" thickBot="1" x14ac:dyDescent="0.3">
      <c r="A1020" s="23">
        <v>45873</v>
      </c>
      <c r="B1020" s="28" t="e">
        <f>- úplná ztráta (afonie)</f>
        <v>#NAME?</v>
      </c>
      <c r="C1020" s="63"/>
      <c r="D1020" s="79">
        <v>3000</v>
      </c>
      <c r="E1020" s="57"/>
    </row>
    <row r="1021" spans="1:5" ht="28.5" thickBot="1" x14ac:dyDescent="0.3">
      <c r="A1021" s="23">
        <v>45904</v>
      </c>
      <c r="B1021" s="28" t="e">
        <f>- ztížení řeči následkem poškození artikulačního ústrojí (včetně jazyka) podle tíže poruchy</f>
        <v>#NAME?</v>
      </c>
      <c r="C1021" s="63"/>
      <c r="D1021" s="79" t="s">
        <v>1065</v>
      </c>
      <c r="E1021" s="57"/>
    </row>
    <row r="1022" spans="1:5" ht="31.5" thickBot="1" x14ac:dyDescent="0.3">
      <c r="A1022" s="23">
        <v>45934</v>
      </c>
      <c r="B1022" s="28" t="s">
        <v>1108</v>
      </c>
      <c r="C1022" s="63"/>
      <c r="D1022" s="79" t="s">
        <v>1109</v>
      </c>
      <c r="E1022" s="57"/>
    </row>
    <row r="1023" spans="1:5" ht="16" thickBot="1" x14ac:dyDescent="0.3">
      <c r="A1023" s="48"/>
      <c r="B1023" s="61" t="s">
        <v>1110</v>
      </c>
      <c r="C1023" s="80"/>
      <c r="D1023" s="62"/>
      <c r="E1023" s="57"/>
    </row>
    <row r="1024" spans="1:5" ht="16" thickBot="1" x14ac:dyDescent="0.3">
      <c r="A1024" s="23">
        <v>45965</v>
      </c>
      <c r="B1024" s="28" t="e">
        <f>- lehkého stupně</f>
        <v>#NAME?</v>
      </c>
      <c r="C1024" s="63"/>
      <c r="D1024" s="79">
        <v>600</v>
      </c>
      <c r="E1024" s="57"/>
    </row>
    <row r="1025" spans="1:5" ht="16" thickBot="1" x14ac:dyDescent="0.3">
      <c r="A1025" s="23">
        <v>45995</v>
      </c>
      <c r="B1025" s="28" t="e">
        <f>- středně těžké</f>
        <v>#NAME?</v>
      </c>
      <c r="C1025" s="63"/>
      <c r="D1025" s="79">
        <v>1200</v>
      </c>
      <c r="E1025" s="57"/>
    </row>
    <row r="1026" spans="1:5" ht="16" thickBot="1" x14ac:dyDescent="0.3">
      <c r="A1026" s="41">
        <v>41365</v>
      </c>
      <c r="B1026" s="28" t="e">
        <f>- těžké</f>
        <v>#NAME?</v>
      </c>
      <c r="C1026" s="63"/>
      <c r="D1026" s="79">
        <v>2000</v>
      </c>
      <c r="E1026" s="57"/>
    </row>
    <row r="1027" spans="1:5" ht="16" thickBot="1" x14ac:dyDescent="0.3">
      <c r="A1027" s="41">
        <v>42095</v>
      </c>
      <c r="B1027" s="28" t="s">
        <v>1111</v>
      </c>
      <c r="C1027" s="63"/>
      <c r="D1027" s="79">
        <v>1600</v>
      </c>
      <c r="E1027" s="57"/>
    </row>
    <row r="1028" spans="1:5" ht="27.65" customHeight="1" thickBot="1" x14ac:dyDescent="0.3">
      <c r="A1028" s="41" t="s">
        <v>166</v>
      </c>
      <c r="B1028" s="65" t="s">
        <v>1112</v>
      </c>
      <c r="C1028" s="78"/>
      <c r="D1028" s="66"/>
      <c r="E1028" s="57"/>
    </row>
    <row r="1029" spans="1:5" ht="41.5" customHeight="1" thickBot="1" x14ac:dyDescent="0.3">
      <c r="A1029" s="48"/>
      <c r="B1029" s="61" t="s">
        <v>1113</v>
      </c>
      <c r="C1029" s="80"/>
      <c r="D1029" s="62"/>
      <c r="E1029" s="57"/>
    </row>
    <row r="1030" spans="1:5" ht="16" thickBot="1" x14ac:dyDescent="0.3">
      <c r="A1030" s="23">
        <v>45662</v>
      </c>
      <c r="B1030" s="28" t="e">
        <f>- lehké</f>
        <v>#NAME?</v>
      </c>
      <c r="C1030" s="63"/>
      <c r="D1030" s="79">
        <v>300</v>
      </c>
      <c r="E1030" s="57"/>
    </row>
    <row r="1031" spans="1:5" ht="16" thickBot="1" x14ac:dyDescent="0.3">
      <c r="A1031" s="23">
        <v>45693</v>
      </c>
      <c r="B1031" s="28" t="e">
        <f>- středně těžké</f>
        <v>#NAME?</v>
      </c>
      <c r="C1031" s="63"/>
      <c r="D1031" s="79">
        <v>600</v>
      </c>
      <c r="E1031" s="57"/>
    </row>
    <row r="1032" spans="1:5" ht="16" thickBot="1" x14ac:dyDescent="0.3">
      <c r="A1032" s="23">
        <v>45721</v>
      </c>
      <c r="B1032" s="28" t="e">
        <f>- těžké</f>
        <v>#NAME?</v>
      </c>
      <c r="C1032" s="63"/>
      <c r="D1032" s="79">
        <v>1200</v>
      </c>
      <c r="E1032" s="57"/>
    </row>
    <row r="1033" spans="1:5" ht="69" customHeight="1" thickBot="1" x14ac:dyDescent="0.3">
      <c r="A1033" s="44"/>
      <c r="B1033" s="61" t="s">
        <v>1114</v>
      </c>
      <c r="C1033" s="80"/>
      <c r="D1033" s="62"/>
      <c r="E1033" s="57"/>
    </row>
    <row r="1034" spans="1:5" ht="16" thickBot="1" x14ac:dyDescent="0.3">
      <c r="A1034" s="23">
        <v>45752</v>
      </c>
      <c r="B1034" s="28" t="e">
        <f>- lehké</f>
        <v>#NAME?</v>
      </c>
      <c r="C1034" s="63"/>
      <c r="D1034" s="79">
        <v>600</v>
      </c>
      <c r="E1034" s="57"/>
    </row>
    <row r="1035" spans="1:5" ht="16" thickBot="1" x14ac:dyDescent="0.3">
      <c r="A1035" s="23">
        <v>45782</v>
      </c>
      <c r="B1035" s="28" t="e">
        <f>- středně těžké</f>
        <v>#NAME?</v>
      </c>
      <c r="C1035" s="63"/>
      <c r="D1035" s="79">
        <v>800</v>
      </c>
      <c r="E1035" s="57"/>
    </row>
    <row r="1036" spans="1:5" ht="16" thickBot="1" x14ac:dyDescent="0.3">
      <c r="A1036" s="23">
        <v>45813</v>
      </c>
      <c r="B1036" s="28" t="e">
        <f>- těžké</f>
        <v>#NAME?</v>
      </c>
      <c r="C1036" s="63"/>
      <c r="D1036" s="79">
        <v>1000</v>
      </c>
      <c r="E1036" s="57"/>
    </row>
    <row r="1037" spans="1:5" ht="69" customHeight="1" thickBot="1" x14ac:dyDescent="0.3">
      <c r="A1037" s="44"/>
      <c r="B1037" s="61" t="s">
        <v>1115</v>
      </c>
      <c r="C1037" s="80"/>
      <c r="D1037" s="62"/>
      <c r="E1037" s="57"/>
    </row>
    <row r="1038" spans="1:5" ht="16" thickBot="1" x14ac:dyDescent="0.3">
      <c r="A1038" s="23">
        <v>45843</v>
      </c>
      <c r="B1038" s="28" t="e">
        <f>- lehké</f>
        <v>#NAME?</v>
      </c>
      <c r="C1038" s="63"/>
      <c r="D1038" s="79">
        <v>1000</v>
      </c>
      <c r="E1038" s="57"/>
    </row>
    <row r="1039" spans="1:5" ht="16" thickBot="1" x14ac:dyDescent="0.3">
      <c r="A1039" s="23">
        <v>45874</v>
      </c>
      <c r="B1039" s="28" t="e">
        <f>- středně těžké</f>
        <v>#NAME?</v>
      </c>
      <c r="C1039" s="63"/>
      <c r="D1039" s="79">
        <v>2000</v>
      </c>
      <c r="E1039" s="57"/>
    </row>
    <row r="1040" spans="1:5" ht="16" thickBot="1" x14ac:dyDescent="0.3">
      <c r="A1040" s="23">
        <v>45905</v>
      </c>
      <c r="B1040" s="28" t="e">
        <f>- těžké</f>
        <v>#NAME?</v>
      </c>
      <c r="C1040" s="63"/>
      <c r="D1040" s="79">
        <v>3000</v>
      </c>
      <c r="E1040" s="57"/>
    </row>
    <row r="1041" spans="1:5" ht="41.5" customHeight="1" thickBot="1" x14ac:dyDescent="0.3">
      <c r="A1041" s="44"/>
      <c r="B1041" s="61" t="s">
        <v>1116</v>
      </c>
      <c r="C1041" s="80"/>
      <c r="D1041" s="62"/>
      <c r="E1041" s="57"/>
    </row>
    <row r="1042" spans="1:5" ht="16" thickBot="1" x14ac:dyDescent="0.3">
      <c r="A1042" s="23">
        <v>45935</v>
      </c>
      <c r="B1042" s="28" t="e">
        <f>- lehké</f>
        <v>#NAME?</v>
      </c>
      <c r="C1042" s="63"/>
      <c r="D1042" s="79">
        <v>400</v>
      </c>
      <c r="E1042" s="57"/>
    </row>
    <row r="1043" spans="1:5" ht="16" thickBot="1" x14ac:dyDescent="0.3">
      <c r="A1043" s="23">
        <v>45966</v>
      </c>
      <c r="B1043" s="28" t="e">
        <f>- středně těžké</f>
        <v>#NAME?</v>
      </c>
      <c r="C1043" s="63"/>
      <c r="D1043" s="79">
        <v>1000</v>
      </c>
      <c r="E1043" s="57"/>
    </row>
    <row r="1044" spans="1:5" ht="16" thickBot="1" x14ac:dyDescent="0.3">
      <c r="A1044" s="23">
        <v>45996</v>
      </c>
      <c r="B1044" s="28" t="e">
        <f>- těžké</f>
        <v>#NAME?</v>
      </c>
      <c r="C1044" s="63"/>
      <c r="D1044" s="79">
        <v>2000</v>
      </c>
      <c r="E1044" s="57"/>
    </row>
    <row r="1045" spans="1:5" ht="16" thickBot="1" x14ac:dyDescent="0.3">
      <c r="A1045" s="41">
        <v>41395</v>
      </c>
      <c r="B1045" s="28" t="e">
        <f>- zvlášť těžké poruchy na úrovni NYHA IV</f>
        <v>#NAME?</v>
      </c>
      <c r="C1045" s="63"/>
      <c r="D1045" s="79">
        <v>3000</v>
      </c>
      <c r="E1045" s="57"/>
    </row>
    <row r="1046" spans="1:5" ht="16" thickBot="1" x14ac:dyDescent="0.3">
      <c r="A1046" s="41">
        <v>41760</v>
      </c>
      <c r="B1046" s="28" t="s">
        <v>1117</v>
      </c>
      <c r="C1046" s="63"/>
      <c r="D1046" s="79">
        <v>600</v>
      </c>
      <c r="E1046" s="57"/>
    </row>
    <row r="1047" spans="1:5" ht="28.5" thickBot="1" x14ac:dyDescent="0.3">
      <c r="A1047" s="41">
        <v>42125</v>
      </c>
      <c r="B1047" s="28" t="s">
        <v>1118</v>
      </c>
      <c r="C1047" s="63"/>
      <c r="D1047" s="79" t="s">
        <v>1119</v>
      </c>
      <c r="E1047" s="57"/>
    </row>
    <row r="1048" spans="1:5" ht="31.5" thickBot="1" x14ac:dyDescent="0.3">
      <c r="A1048" s="41">
        <v>42491</v>
      </c>
      <c r="B1048" s="28" t="s">
        <v>1120</v>
      </c>
      <c r="C1048" s="63"/>
      <c r="D1048" s="79" t="s">
        <v>1121</v>
      </c>
      <c r="E1048" s="57"/>
    </row>
    <row r="1049" spans="1:5" ht="27.65" customHeight="1" thickBot="1" x14ac:dyDescent="0.3">
      <c r="A1049" s="53"/>
      <c r="B1049" s="61" t="s">
        <v>1122</v>
      </c>
      <c r="C1049" s="80"/>
      <c r="D1049" s="62"/>
      <c r="E1049" s="57"/>
    </row>
    <row r="1050" spans="1:5" ht="16" thickBot="1" x14ac:dyDescent="0.3">
      <c r="A1050" s="41">
        <v>42856</v>
      </c>
      <c r="B1050" s="28" t="e">
        <f>- lehké</f>
        <v>#NAME?</v>
      </c>
      <c r="C1050" s="63"/>
      <c r="D1050" s="79">
        <v>200</v>
      </c>
      <c r="E1050" s="57"/>
    </row>
    <row r="1051" spans="1:5" ht="16" thickBot="1" x14ac:dyDescent="0.3">
      <c r="A1051" s="41">
        <v>43221</v>
      </c>
      <c r="B1051" s="28" t="e">
        <f>- lehké s příznaky kořenového dráždění</f>
        <v>#NAME?</v>
      </c>
      <c r="C1051" s="63"/>
      <c r="D1051" s="79">
        <v>400</v>
      </c>
      <c r="E1051" s="57"/>
    </row>
    <row r="1052" spans="1:5" ht="16" thickBot="1" x14ac:dyDescent="0.3">
      <c r="A1052" s="41">
        <v>43586</v>
      </c>
      <c r="B1052" s="28" t="e">
        <f>- středně těžké</f>
        <v>#NAME?</v>
      </c>
      <c r="C1052" s="63"/>
      <c r="D1052" s="79">
        <v>300</v>
      </c>
      <c r="E1052" s="57"/>
    </row>
    <row r="1053" spans="1:5" ht="16" thickBot="1" x14ac:dyDescent="0.3">
      <c r="A1053" s="41">
        <v>43952</v>
      </c>
      <c r="B1053" s="28" t="e">
        <f>- středně těžké s příznaky kořenového dráždění</f>
        <v>#NAME?</v>
      </c>
      <c r="C1053" s="63"/>
      <c r="D1053" s="79">
        <v>600</v>
      </c>
      <c r="E1053" s="57"/>
    </row>
    <row r="1054" spans="1:5" ht="16" thickBot="1" x14ac:dyDescent="0.3">
      <c r="A1054" s="41">
        <v>44317</v>
      </c>
      <c r="B1054" s="28" t="e">
        <f>- těžkého stupně</f>
        <v>#NAME?</v>
      </c>
      <c r="C1054" s="63"/>
      <c r="D1054" s="79">
        <v>400</v>
      </c>
      <c r="E1054" s="57"/>
    </row>
    <row r="1055" spans="1:5" ht="16" thickBot="1" x14ac:dyDescent="0.3">
      <c r="A1055" s="41">
        <v>44682</v>
      </c>
      <c r="B1055" s="28" t="e">
        <f>- těžkého stupně s příznaky kořenového dráždění</f>
        <v>#NAME?</v>
      </c>
      <c r="C1055" s="63"/>
      <c r="D1055" s="79">
        <v>800</v>
      </c>
      <c r="E1055" s="57"/>
    </row>
    <row r="1056" spans="1:5" ht="16" thickBot="1" x14ac:dyDescent="0.3">
      <c r="A1056" s="41">
        <v>45047</v>
      </c>
      <c r="B1056" s="28" t="s">
        <v>1123</v>
      </c>
      <c r="C1056" s="63"/>
      <c r="D1056" s="79">
        <v>1200</v>
      </c>
      <c r="E1056" s="57"/>
    </row>
    <row r="1057" spans="1:5" ht="28.5" thickBot="1" x14ac:dyDescent="0.3">
      <c r="A1057" s="41">
        <v>45413</v>
      </c>
      <c r="B1057" s="28" t="s">
        <v>1124</v>
      </c>
      <c r="C1057" s="63"/>
      <c r="D1057" s="79" t="s">
        <v>1125</v>
      </c>
      <c r="E1057" s="57"/>
    </row>
    <row r="1058" spans="1:5" ht="16" thickBot="1" x14ac:dyDescent="0.3">
      <c r="A1058" s="41">
        <v>45778</v>
      </c>
      <c r="B1058" s="28" t="s">
        <v>1126</v>
      </c>
      <c r="C1058" s="63"/>
      <c r="D1058" s="79">
        <v>5600</v>
      </c>
      <c r="E1058" s="57"/>
    </row>
    <row r="1059" spans="1:5" ht="16" thickBot="1" x14ac:dyDescent="0.3">
      <c r="A1059" s="41">
        <v>46143</v>
      </c>
      <c r="B1059" s="28" t="s">
        <v>1127</v>
      </c>
      <c r="C1059" s="63"/>
      <c r="D1059" s="79">
        <v>6000</v>
      </c>
      <c r="E1059" s="57"/>
    </row>
    <row r="1060" spans="1:5" ht="28.5" thickBot="1" x14ac:dyDescent="0.3">
      <c r="A1060" s="41">
        <v>46508</v>
      </c>
      <c r="B1060" s="28" t="s">
        <v>1128</v>
      </c>
      <c r="C1060" s="63"/>
      <c r="D1060" s="79" t="s">
        <v>1129</v>
      </c>
      <c r="E1060" s="57"/>
    </row>
    <row r="1061" spans="1:5" ht="16" thickBot="1" x14ac:dyDescent="0.3">
      <c r="A1061" s="41">
        <v>46874</v>
      </c>
      <c r="B1061" s="28" t="s">
        <v>1130</v>
      </c>
      <c r="C1061" s="63"/>
      <c r="D1061" s="79">
        <v>5200</v>
      </c>
      <c r="E1061" s="57"/>
    </row>
    <row r="1062" spans="1:5" ht="28.5" thickBot="1" x14ac:dyDescent="0.3">
      <c r="A1062" s="41">
        <v>47239</v>
      </c>
      <c r="B1062" s="28" t="s">
        <v>1131</v>
      </c>
      <c r="C1062" s="63"/>
      <c r="D1062" s="79" t="s">
        <v>919</v>
      </c>
      <c r="E1062" s="57"/>
    </row>
    <row r="1063" spans="1:5" ht="16" thickBot="1" x14ac:dyDescent="0.3">
      <c r="A1063" s="41">
        <v>11079</v>
      </c>
      <c r="B1063" s="28" t="s">
        <v>1132</v>
      </c>
      <c r="C1063" s="63"/>
      <c r="D1063" s="79">
        <v>2800</v>
      </c>
      <c r="E1063" s="57"/>
    </row>
    <row r="1064" spans="1:5" ht="27.65" customHeight="1" thickBot="1" x14ac:dyDescent="0.3">
      <c r="A1064" s="23" t="s">
        <v>188</v>
      </c>
      <c r="B1064" s="65" t="s">
        <v>1133</v>
      </c>
      <c r="C1064" s="78"/>
      <c r="D1064" s="66"/>
      <c r="E1064" s="57"/>
    </row>
    <row r="1065" spans="1:5" ht="16" thickBot="1" x14ac:dyDescent="0.3">
      <c r="A1065" s="23">
        <v>45663</v>
      </c>
      <c r="B1065" s="28" t="s">
        <v>1134</v>
      </c>
      <c r="C1065" s="63"/>
      <c r="D1065" s="79">
        <v>500</v>
      </c>
      <c r="E1065" s="57"/>
    </row>
    <row r="1066" spans="1:5" ht="27.65" customHeight="1" thickBot="1" x14ac:dyDescent="0.3">
      <c r="A1066" s="53"/>
      <c r="B1066" s="61" t="s">
        <v>1135</v>
      </c>
      <c r="C1066" s="80"/>
      <c r="D1066" s="62"/>
      <c r="E1066" s="57"/>
    </row>
    <row r="1067" spans="1:5" ht="16" thickBot="1" x14ac:dyDescent="0.3">
      <c r="A1067" s="23">
        <v>45694</v>
      </c>
      <c r="B1067" s="28" t="e">
        <f>- lehké</f>
        <v>#NAME?</v>
      </c>
      <c r="C1067" s="63"/>
      <c r="D1067" s="79">
        <v>400</v>
      </c>
      <c r="E1067" s="57"/>
    </row>
    <row r="1068" spans="1:5" ht="16" thickBot="1" x14ac:dyDescent="0.3">
      <c r="A1068" s="23">
        <v>45722</v>
      </c>
      <c r="B1068" s="28" t="e">
        <f>- středně těžké</f>
        <v>#NAME?</v>
      </c>
      <c r="C1068" s="63"/>
      <c r="D1068" s="79">
        <v>700</v>
      </c>
      <c r="E1068" s="57"/>
    </row>
    <row r="1069" spans="1:5" ht="16" thickBot="1" x14ac:dyDescent="0.3">
      <c r="A1069" s="23">
        <v>45753</v>
      </c>
      <c r="B1069" s="28" t="e">
        <f>- těžké</f>
        <v>#NAME?</v>
      </c>
      <c r="C1069" s="63"/>
      <c r="D1069" s="79">
        <v>1100</v>
      </c>
      <c r="E1069" s="57"/>
    </row>
    <row r="1070" spans="1:5" ht="16" thickBot="1" x14ac:dyDescent="0.3">
      <c r="A1070" s="23">
        <v>45783</v>
      </c>
      <c r="B1070" s="28" t="s">
        <v>1136</v>
      </c>
      <c r="C1070" s="63"/>
      <c r="D1070" s="79">
        <v>600</v>
      </c>
      <c r="E1070" s="57"/>
    </row>
    <row r="1071" spans="1:5" ht="28.5" thickBot="1" x14ac:dyDescent="0.3">
      <c r="A1071" s="23">
        <v>45814</v>
      </c>
      <c r="B1071" s="28" t="s">
        <v>1137</v>
      </c>
      <c r="C1071" s="63"/>
      <c r="D1071" s="79" t="s">
        <v>1138</v>
      </c>
      <c r="E1071" s="57"/>
    </row>
    <row r="1072" spans="1:5" ht="27.65" customHeight="1" thickBot="1" x14ac:dyDescent="0.3">
      <c r="A1072" s="48"/>
      <c r="B1072" s="61" t="s">
        <v>1139</v>
      </c>
      <c r="C1072" s="80"/>
      <c r="D1072" s="62"/>
      <c r="E1072" s="57"/>
    </row>
    <row r="1073" spans="1:5" ht="16" thickBot="1" x14ac:dyDescent="0.3">
      <c r="A1073" s="23">
        <v>45844</v>
      </c>
      <c r="B1073" s="28" t="e">
        <f>- částečná</f>
        <v>#NAME?</v>
      </c>
      <c r="C1073" s="63"/>
      <c r="D1073" s="79">
        <v>1500</v>
      </c>
      <c r="E1073" s="57"/>
    </row>
    <row r="1074" spans="1:5" ht="16" thickBot="1" x14ac:dyDescent="0.3">
      <c r="A1074" s="23">
        <v>45875</v>
      </c>
      <c r="B1074" s="28" t="e">
        <f>- úplná</f>
        <v>#NAME?</v>
      </c>
      <c r="C1074" s="63"/>
      <c r="D1074" s="79">
        <v>4000</v>
      </c>
      <c r="E1074" s="57"/>
    </row>
    <row r="1075" spans="1:5" ht="16" thickBot="1" x14ac:dyDescent="0.3">
      <c r="A1075" s="23">
        <v>45906</v>
      </c>
      <c r="B1075" s="28" t="s">
        <v>1140</v>
      </c>
      <c r="C1075" s="63"/>
      <c r="D1075" s="79">
        <v>3000</v>
      </c>
      <c r="E1075" s="57"/>
    </row>
    <row r="1076" spans="1:5" ht="16" thickBot="1" x14ac:dyDescent="0.3">
      <c r="A1076" s="49" t="s">
        <v>202</v>
      </c>
      <c r="B1076" s="65" t="s">
        <v>1141</v>
      </c>
      <c r="C1076" s="78"/>
      <c r="D1076" s="66"/>
      <c r="E1076" s="57"/>
    </row>
    <row r="1077" spans="1:5" ht="16" thickBot="1" x14ac:dyDescent="0.3">
      <c r="A1077" s="23">
        <v>45664</v>
      </c>
      <c r="B1077" s="28" t="s">
        <v>1142</v>
      </c>
      <c r="C1077" s="63"/>
      <c r="D1077" s="79">
        <v>1000</v>
      </c>
      <c r="E1077" s="57"/>
    </row>
    <row r="1078" spans="1:5" ht="16" thickBot="1" x14ac:dyDescent="0.3">
      <c r="A1078" s="23">
        <v>45695</v>
      </c>
      <c r="B1078" s="28" t="s">
        <v>1143</v>
      </c>
      <c r="C1078" s="63"/>
      <c r="D1078" s="79">
        <v>4000</v>
      </c>
      <c r="E1078" s="57"/>
    </row>
    <row r="1079" spans="1:5" ht="27.65" customHeight="1" thickBot="1" x14ac:dyDescent="0.3">
      <c r="A1079" s="44"/>
      <c r="B1079" s="61" t="s">
        <v>1144</v>
      </c>
      <c r="C1079" s="80"/>
      <c r="D1079" s="62"/>
      <c r="E1079" s="57"/>
    </row>
    <row r="1080" spans="1:5" ht="16" thickBot="1" x14ac:dyDescent="0.3">
      <c r="A1080" s="23">
        <v>45723</v>
      </c>
      <c r="B1080" s="28" t="e">
        <f>- lehkého stupně</f>
        <v>#NAME?</v>
      </c>
      <c r="C1080" s="63"/>
      <c r="D1080" s="79">
        <v>300</v>
      </c>
      <c r="E1080" s="57"/>
    </row>
    <row r="1081" spans="1:5" ht="16" thickBot="1" x14ac:dyDescent="0.3">
      <c r="A1081" s="23">
        <v>45754</v>
      </c>
      <c r="B1081" s="28" t="e">
        <f>- středně těžkého stupně</f>
        <v>#NAME?</v>
      </c>
      <c r="C1081" s="63"/>
      <c r="D1081" s="79">
        <v>600</v>
      </c>
      <c r="E1081" s="57"/>
    </row>
    <row r="1082" spans="1:5" ht="16" thickBot="1" x14ac:dyDescent="0.3">
      <c r="A1082" s="23">
        <v>45784</v>
      </c>
      <c r="B1082" s="28" t="e">
        <f>- těžká</f>
        <v>#NAME?</v>
      </c>
      <c r="C1082" s="63"/>
      <c r="D1082" s="79">
        <v>1500</v>
      </c>
      <c r="E1082" s="57"/>
    </row>
    <row r="1083" spans="1:5" ht="16" thickBot="1" x14ac:dyDescent="0.3">
      <c r="A1083" s="23">
        <v>45815</v>
      </c>
      <c r="B1083" s="28" t="e">
        <f>- úplná</f>
        <v>#NAME?</v>
      </c>
      <c r="C1083" s="63"/>
      <c r="D1083" s="79">
        <v>3000</v>
      </c>
      <c r="E1083" s="57"/>
    </row>
    <row r="1084" spans="1:5" ht="16" thickBot="1" x14ac:dyDescent="0.3">
      <c r="A1084" s="23">
        <v>45845</v>
      </c>
      <c r="B1084" s="28" t="s">
        <v>1145</v>
      </c>
      <c r="C1084" s="63"/>
      <c r="D1084" s="79">
        <v>1400</v>
      </c>
      <c r="E1084" s="57"/>
    </row>
    <row r="1085" spans="1:5" ht="16" thickBot="1" x14ac:dyDescent="0.3">
      <c r="A1085" s="23">
        <v>45876</v>
      </c>
      <c r="B1085" s="28" t="s">
        <v>1146</v>
      </c>
      <c r="C1085" s="63"/>
      <c r="D1085" s="79">
        <v>1000</v>
      </c>
      <c r="E1085" s="57"/>
    </row>
    <row r="1086" spans="1:5" ht="31.5" thickBot="1" x14ac:dyDescent="0.3">
      <c r="A1086" s="23">
        <v>45907</v>
      </c>
      <c r="B1086" s="28" t="s">
        <v>1147</v>
      </c>
      <c r="C1086" s="63"/>
      <c r="D1086" s="79" t="s">
        <v>1148</v>
      </c>
      <c r="E1086" s="57"/>
    </row>
    <row r="1087" spans="1:5" ht="16" thickBot="1" x14ac:dyDescent="0.3">
      <c r="A1087" s="23">
        <v>45937</v>
      </c>
      <c r="B1087" s="28" t="s">
        <v>1149</v>
      </c>
      <c r="C1087" s="63"/>
      <c r="D1087" s="79">
        <v>100</v>
      </c>
      <c r="E1087" s="57"/>
    </row>
    <row r="1088" spans="1:5" ht="16" thickBot="1" x14ac:dyDescent="0.3">
      <c r="A1088" s="23">
        <v>45968</v>
      </c>
      <c r="B1088" s="28" t="s">
        <v>1140</v>
      </c>
      <c r="C1088" s="63"/>
      <c r="D1088" s="79">
        <v>3000</v>
      </c>
      <c r="E1088" s="57"/>
    </row>
    <row r="1089" spans="1:5" ht="16" thickBot="1" x14ac:dyDescent="0.3">
      <c r="A1089" s="23">
        <v>45998</v>
      </c>
      <c r="B1089" s="28" t="s">
        <v>1150</v>
      </c>
      <c r="C1089" s="63"/>
      <c r="D1089" s="79">
        <v>400</v>
      </c>
      <c r="E1089" s="57"/>
    </row>
    <row r="1090" spans="1:5" ht="96.65" customHeight="1" thickBot="1" x14ac:dyDescent="0.3">
      <c r="A1090" s="44"/>
      <c r="B1090" s="61" t="s">
        <v>1151</v>
      </c>
      <c r="C1090" s="80"/>
      <c r="D1090" s="62"/>
      <c r="E1090" s="57"/>
    </row>
    <row r="1091" spans="1:5" ht="16" thickBot="1" x14ac:dyDescent="0.3">
      <c r="A1091" s="41">
        <v>41456</v>
      </c>
      <c r="B1091" s="28" t="s">
        <v>1152</v>
      </c>
      <c r="C1091" s="63"/>
      <c r="D1091" s="79">
        <v>2400</v>
      </c>
      <c r="E1091" s="57"/>
    </row>
    <row r="1092" spans="1:5" ht="16" thickBot="1" x14ac:dyDescent="0.3">
      <c r="A1092" s="41">
        <v>41821</v>
      </c>
      <c r="B1092" s="28" t="s">
        <v>1153</v>
      </c>
      <c r="C1092" s="63"/>
      <c r="D1092" s="79">
        <v>1200</v>
      </c>
      <c r="E1092" s="57"/>
    </row>
    <row r="1093" spans="1:5" ht="47" thickBot="1" x14ac:dyDescent="0.3">
      <c r="A1093" s="41">
        <v>42186</v>
      </c>
      <c r="B1093" s="28" t="s">
        <v>1154</v>
      </c>
      <c r="C1093" s="63"/>
      <c r="D1093" s="79" t="s">
        <v>1155</v>
      </c>
      <c r="E1093" s="57"/>
    </row>
    <row r="1094" spans="1:5" ht="16" thickBot="1" x14ac:dyDescent="0.3">
      <c r="A1094" s="41">
        <v>42552</v>
      </c>
      <c r="B1094" s="28" t="s">
        <v>1156</v>
      </c>
      <c r="C1094" s="63"/>
      <c r="D1094" s="79">
        <v>1600</v>
      </c>
      <c r="E1094" s="57"/>
    </row>
    <row r="1095" spans="1:5" ht="16" thickBot="1" x14ac:dyDescent="0.3">
      <c r="A1095" s="41">
        <v>42917</v>
      </c>
      <c r="B1095" s="28" t="s">
        <v>1157</v>
      </c>
      <c r="C1095" s="63"/>
      <c r="D1095" s="79">
        <v>2400</v>
      </c>
      <c r="E1095" s="57"/>
    </row>
    <row r="1096" spans="1:5" ht="16" thickBot="1" x14ac:dyDescent="0.3">
      <c r="A1096" s="41">
        <v>43282</v>
      </c>
      <c r="B1096" s="28" t="s">
        <v>1158</v>
      </c>
      <c r="C1096" s="63"/>
      <c r="D1096" s="79">
        <v>800</v>
      </c>
      <c r="E1096" s="57"/>
    </row>
    <row r="1097" spans="1:5" ht="47" thickBot="1" x14ac:dyDescent="0.3">
      <c r="A1097" s="41">
        <v>43647</v>
      </c>
      <c r="B1097" s="28" t="s">
        <v>1159</v>
      </c>
      <c r="C1097" s="63"/>
      <c r="D1097" s="79" t="s">
        <v>1160</v>
      </c>
      <c r="E1097" s="57"/>
    </row>
    <row r="1098" spans="1:5" ht="16" thickBot="1" x14ac:dyDescent="0.3">
      <c r="A1098" s="41">
        <v>44013</v>
      </c>
      <c r="B1098" s="28" t="s">
        <v>1161</v>
      </c>
      <c r="C1098" s="63"/>
      <c r="D1098" s="79">
        <v>600</v>
      </c>
      <c r="E1098" s="57"/>
    </row>
    <row r="1099" spans="1:5" ht="31.5" thickBot="1" x14ac:dyDescent="0.3">
      <c r="A1099" s="41">
        <v>44378</v>
      </c>
      <c r="B1099" s="28" t="s">
        <v>1162</v>
      </c>
      <c r="C1099" s="63"/>
      <c r="D1099" s="79">
        <v>1200</v>
      </c>
      <c r="E1099" s="57"/>
    </row>
    <row r="1100" spans="1:5" ht="28.5" thickBot="1" x14ac:dyDescent="0.3">
      <c r="A1100" s="23" t="s">
        <v>266</v>
      </c>
      <c r="B1100" s="24" t="s">
        <v>1163</v>
      </c>
      <c r="C1100" s="79" t="s">
        <v>1164</v>
      </c>
      <c r="D1100" s="79" t="s">
        <v>1165</v>
      </c>
      <c r="E1100" s="57"/>
    </row>
    <row r="1101" spans="1:5" ht="16" thickBot="1" x14ac:dyDescent="0.3">
      <c r="A1101" s="23">
        <v>45665</v>
      </c>
      <c r="B1101" s="28" t="s">
        <v>1166</v>
      </c>
      <c r="C1101" s="79">
        <v>4000</v>
      </c>
      <c r="D1101" s="79">
        <v>4400</v>
      </c>
      <c r="E1101" s="57"/>
    </row>
    <row r="1102" spans="1:5" ht="41.5" customHeight="1" thickBot="1" x14ac:dyDescent="0.3">
      <c r="A1102" s="53"/>
      <c r="B1102" s="61" t="s">
        <v>1167</v>
      </c>
      <c r="C1102" s="80"/>
      <c r="D1102" s="62"/>
      <c r="E1102" s="57"/>
    </row>
    <row r="1103" spans="1:5" ht="16" thickBot="1" x14ac:dyDescent="0.3">
      <c r="A1103" s="23">
        <v>45696</v>
      </c>
      <c r="B1103" s="28" t="e">
        <f>- s pahýlem nevhodným k protézování</f>
        <v>#NAME?</v>
      </c>
      <c r="C1103" s="79">
        <v>3600</v>
      </c>
      <c r="D1103" s="79">
        <v>4000</v>
      </c>
      <c r="E1103" s="57"/>
    </row>
    <row r="1104" spans="1:5" ht="16" thickBot="1" x14ac:dyDescent="0.3">
      <c r="A1104" s="23">
        <v>45724</v>
      </c>
      <c r="B1104" s="28" t="e">
        <f>- s pahýlem vhodným k protézování</f>
        <v>#NAME?</v>
      </c>
      <c r="C1104" s="79">
        <v>2400</v>
      </c>
      <c r="D1104" s="79">
        <v>2800</v>
      </c>
      <c r="E1104" s="57"/>
    </row>
    <row r="1105" spans="1:5" ht="16" thickBot="1" x14ac:dyDescent="0.3">
      <c r="A1105" s="23">
        <v>45755</v>
      </c>
      <c r="B1105" s="28" t="s">
        <v>1168</v>
      </c>
      <c r="C1105" s="79">
        <v>1000</v>
      </c>
      <c r="D1105" s="79">
        <v>1200</v>
      </c>
      <c r="E1105" s="57"/>
    </row>
    <row r="1106" spans="1:5" ht="41.5" customHeight="1" thickBot="1" x14ac:dyDescent="0.3">
      <c r="A1106" s="53"/>
      <c r="B1106" s="61" t="s">
        <v>1169</v>
      </c>
      <c r="C1106" s="80"/>
      <c r="D1106" s="62"/>
      <c r="E1106" s="57"/>
    </row>
    <row r="1107" spans="1:5" ht="16" thickBot="1" x14ac:dyDescent="0.3">
      <c r="A1107" s="23">
        <v>45785</v>
      </c>
      <c r="B1107" s="28" t="e">
        <f>- lehkého stupně</f>
        <v>#NAME?</v>
      </c>
      <c r="C1107" s="79">
        <v>300</v>
      </c>
      <c r="D1107" s="79">
        <v>400</v>
      </c>
      <c r="E1107" s="57"/>
    </row>
    <row r="1108" spans="1:5" ht="16" thickBot="1" x14ac:dyDescent="0.3">
      <c r="A1108" s="23">
        <v>45816</v>
      </c>
      <c r="B1108" s="28" t="e">
        <f>- středního stupně</f>
        <v>#NAME?</v>
      </c>
      <c r="C1108" s="79">
        <v>500</v>
      </c>
      <c r="D1108" s="79">
        <v>600</v>
      </c>
      <c r="E1108" s="57"/>
    </row>
    <row r="1109" spans="1:5" ht="16" thickBot="1" x14ac:dyDescent="0.3">
      <c r="A1109" s="23">
        <v>45846</v>
      </c>
      <c r="B1109" s="28" t="e">
        <f>- těžkého stupně</f>
        <v>#NAME?</v>
      </c>
      <c r="C1109" s="79">
        <v>700</v>
      </c>
      <c r="D1109" s="79">
        <v>800</v>
      </c>
      <c r="E1109" s="57"/>
    </row>
    <row r="1110" spans="1:5" ht="16" thickBot="1" x14ac:dyDescent="0.3">
      <c r="A1110" s="23">
        <v>45908</v>
      </c>
      <c r="B1110" s="28" t="s">
        <v>1170</v>
      </c>
      <c r="C1110" s="79">
        <v>1100</v>
      </c>
      <c r="D1110" s="79">
        <v>1200</v>
      </c>
      <c r="E1110" s="57"/>
    </row>
    <row r="1111" spans="1:5" ht="16" thickBot="1" x14ac:dyDescent="0.3">
      <c r="A1111" s="23">
        <v>45938</v>
      </c>
      <c r="B1111" s="28" t="s">
        <v>1171</v>
      </c>
      <c r="C1111" s="79">
        <v>900</v>
      </c>
      <c r="D1111" s="79">
        <v>1000</v>
      </c>
      <c r="E1111" s="57"/>
    </row>
    <row r="1112" spans="1:5" ht="16" thickBot="1" x14ac:dyDescent="0.3">
      <c r="A1112" s="23">
        <v>45969</v>
      </c>
      <c r="B1112" s="28" t="s">
        <v>1172</v>
      </c>
      <c r="C1112" s="79">
        <v>800</v>
      </c>
      <c r="D1112" s="79">
        <v>900</v>
      </c>
      <c r="E1112" s="57"/>
    </row>
    <row r="1113" spans="1:5" ht="16" thickBot="1" x14ac:dyDescent="0.3">
      <c r="A1113" s="48"/>
      <c r="B1113" s="61" t="s">
        <v>1173</v>
      </c>
      <c r="C1113" s="80"/>
      <c r="D1113" s="62"/>
      <c r="E1113" s="57"/>
    </row>
    <row r="1114" spans="1:5" ht="16" thickBot="1" x14ac:dyDescent="0.3">
      <c r="A1114" s="23">
        <v>45999</v>
      </c>
      <c r="B1114" s="28" t="e">
        <f>- sternoklavikulárního kloubu</f>
        <v>#NAME?</v>
      </c>
      <c r="C1114" s="79">
        <v>600</v>
      </c>
      <c r="D1114" s="79">
        <v>600</v>
      </c>
      <c r="E1114" s="57"/>
    </row>
    <row r="1115" spans="1:5" ht="16" thickBot="1" x14ac:dyDescent="0.3">
      <c r="A1115" s="41">
        <v>41487</v>
      </c>
      <c r="B1115" s="28" t="e">
        <f>- akromioklavikulárního kloubu</f>
        <v>#NAME?</v>
      </c>
      <c r="C1115" s="79">
        <v>1100</v>
      </c>
      <c r="D1115" s="79">
        <v>1200</v>
      </c>
      <c r="E1115" s="57"/>
    </row>
    <row r="1116" spans="1:5" ht="16" thickBot="1" x14ac:dyDescent="0.3">
      <c r="A1116" s="48"/>
      <c r="B1116" s="61" t="s">
        <v>1174</v>
      </c>
      <c r="C1116" s="80"/>
      <c r="D1116" s="62"/>
      <c r="E1116" s="57"/>
    </row>
    <row r="1117" spans="1:5" ht="16" thickBot="1" x14ac:dyDescent="0.3">
      <c r="A1117" s="41">
        <v>41852</v>
      </c>
      <c r="B1117" s="28" t="e">
        <f>- úplná ztuhlost</f>
        <v>#NAME?</v>
      </c>
      <c r="C1117" s="79">
        <v>900</v>
      </c>
      <c r="D1117" s="79">
        <v>1000</v>
      </c>
      <c r="E1117" s="57"/>
    </row>
    <row r="1118" spans="1:5" ht="16" thickBot="1" x14ac:dyDescent="0.3">
      <c r="A1118" s="41">
        <v>42217</v>
      </c>
      <c r="B1118" s="28" t="e">
        <f>- omezení pohyblivosti loketního kloubu těžkého stupně</f>
        <v>#NAME?</v>
      </c>
      <c r="C1118" s="79">
        <v>600</v>
      </c>
      <c r="D1118" s="79">
        <v>700</v>
      </c>
      <c r="E1118" s="57"/>
    </row>
    <row r="1119" spans="1:5" ht="16" thickBot="1" x14ac:dyDescent="0.3">
      <c r="A1119" s="41">
        <v>42583</v>
      </c>
      <c r="B1119" s="28" t="e">
        <f>- středního stupně</f>
        <v>#NAME?</v>
      </c>
      <c r="C1119" s="79">
        <v>500</v>
      </c>
      <c r="D1119" s="79">
        <v>600</v>
      </c>
      <c r="E1119" s="57"/>
    </row>
    <row r="1120" spans="1:5" ht="16" thickBot="1" x14ac:dyDescent="0.3">
      <c r="A1120" s="41">
        <v>42948</v>
      </c>
      <c r="B1120" s="28" t="e">
        <f>- lehkého stupně</f>
        <v>#NAME?</v>
      </c>
      <c r="C1120" s="79">
        <v>400</v>
      </c>
      <c r="D1120" s="79">
        <v>500</v>
      </c>
      <c r="E1120" s="57"/>
    </row>
    <row r="1121" spans="1:5" ht="27.65" customHeight="1" thickBot="1" x14ac:dyDescent="0.3">
      <c r="A1121" s="48"/>
      <c r="B1121" s="61" t="s">
        <v>1175</v>
      </c>
      <c r="C1121" s="80"/>
      <c r="D1121" s="62"/>
      <c r="E1121" s="57"/>
    </row>
    <row r="1122" spans="1:5" ht="16" thickBot="1" x14ac:dyDescent="0.3">
      <c r="A1122" s="41">
        <v>43313</v>
      </c>
      <c r="B1122" s="28" t="e">
        <f>- úplná ztuhlost</f>
        <v>#NAME?</v>
      </c>
      <c r="C1122" s="79">
        <v>800</v>
      </c>
      <c r="D1122" s="79">
        <v>900</v>
      </c>
      <c r="E1122" s="57"/>
    </row>
    <row r="1123" spans="1:5" ht="16" thickBot="1" x14ac:dyDescent="0.3">
      <c r="A1123" s="41">
        <v>43678</v>
      </c>
      <c r="B1123" s="28" t="e">
        <f>- omezená supinace a pronace předloktí těžkého stupně</f>
        <v>#NAME?</v>
      </c>
      <c r="C1123" s="79">
        <v>700</v>
      </c>
      <c r="D1123" s="79">
        <v>800</v>
      </c>
      <c r="E1123" s="57"/>
    </row>
    <row r="1124" spans="1:5" ht="16" thickBot="1" x14ac:dyDescent="0.3">
      <c r="A1124" s="41">
        <v>44044</v>
      </c>
      <c r="B1124" s="28" t="e">
        <f>- středního stupně</f>
        <v>#NAME?</v>
      </c>
      <c r="C1124" s="79">
        <v>600</v>
      </c>
      <c r="D1124" s="79">
        <v>700</v>
      </c>
      <c r="E1124" s="57"/>
    </row>
    <row r="1125" spans="1:5" ht="16" thickBot="1" x14ac:dyDescent="0.3">
      <c r="A1125" s="41">
        <v>44409</v>
      </c>
      <c r="B1125" s="28" t="e">
        <f>- lehkého stupně</f>
        <v>#NAME?</v>
      </c>
      <c r="C1125" s="79">
        <v>500</v>
      </c>
      <c r="D1125" s="79">
        <v>600</v>
      </c>
      <c r="E1125" s="57"/>
    </row>
    <row r="1126" spans="1:5" ht="16" thickBot="1" x14ac:dyDescent="0.3">
      <c r="A1126" s="41">
        <v>44774</v>
      </c>
      <c r="B1126" s="28" t="s">
        <v>1176</v>
      </c>
      <c r="C1126" s="79">
        <v>900</v>
      </c>
      <c r="D1126" s="79">
        <v>1000</v>
      </c>
      <c r="E1126" s="57"/>
    </row>
    <row r="1127" spans="1:5" ht="16" thickBot="1" x14ac:dyDescent="0.3">
      <c r="A1127" s="41">
        <v>45139</v>
      </c>
      <c r="B1127" s="28" t="s">
        <v>1177</v>
      </c>
      <c r="C1127" s="79">
        <v>600</v>
      </c>
      <c r="D1127" s="79">
        <v>700</v>
      </c>
      <c r="E1127" s="57"/>
    </row>
    <row r="1128" spans="1:5" ht="16" thickBot="1" x14ac:dyDescent="0.3">
      <c r="A1128" s="41">
        <v>45505</v>
      </c>
      <c r="B1128" s="28" t="s">
        <v>1178</v>
      </c>
      <c r="C1128" s="79">
        <v>250</v>
      </c>
      <c r="D1128" s="79">
        <v>600</v>
      </c>
      <c r="E1128" s="57"/>
    </row>
    <row r="1129" spans="1:5" ht="16" thickBot="1" x14ac:dyDescent="0.3">
      <c r="A1129" s="41">
        <v>45870</v>
      </c>
      <c r="B1129" s="28" t="s">
        <v>1179</v>
      </c>
      <c r="C1129" s="79">
        <v>700</v>
      </c>
      <c r="D1129" s="79">
        <v>800</v>
      </c>
      <c r="E1129" s="57"/>
    </row>
    <row r="1130" spans="1:5" ht="16" thickBot="1" x14ac:dyDescent="0.3">
      <c r="A1130" s="41">
        <v>46235</v>
      </c>
      <c r="B1130" s="28" t="s">
        <v>1180</v>
      </c>
      <c r="C1130" s="79">
        <v>900</v>
      </c>
      <c r="D1130" s="79">
        <v>1000</v>
      </c>
      <c r="E1130" s="57"/>
    </row>
    <row r="1131" spans="1:5" ht="16" thickBot="1" x14ac:dyDescent="0.3">
      <c r="A1131" s="41">
        <v>46600</v>
      </c>
      <c r="B1131" s="28" t="s">
        <v>1181</v>
      </c>
      <c r="C1131" s="79">
        <v>2400</v>
      </c>
      <c r="D1131" s="79">
        <v>2600</v>
      </c>
      <c r="E1131" s="57"/>
    </row>
    <row r="1132" spans="1:5" ht="16" thickBot="1" x14ac:dyDescent="0.3">
      <c r="A1132" s="41">
        <v>46966</v>
      </c>
      <c r="B1132" s="28" t="s">
        <v>1182</v>
      </c>
      <c r="C1132" s="79">
        <v>2200</v>
      </c>
      <c r="D1132" s="79">
        <v>2400</v>
      </c>
      <c r="E1132" s="57"/>
    </row>
    <row r="1133" spans="1:5" ht="16" thickBot="1" x14ac:dyDescent="0.3">
      <c r="A1133" s="41">
        <v>47331</v>
      </c>
      <c r="B1133" s="28" t="s">
        <v>1183</v>
      </c>
      <c r="C1133" s="79">
        <v>2100</v>
      </c>
      <c r="D1133" s="79">
        <v>2200</v>
      </c>
      <c r="E1133" s="57"/>
    </row>
    <row r="1134" spans="1:5" ht="16" thickBot="1" x14ac:dyDescent="0.3">
      <c r="A1134" s="41">
        <v>11171</v>
      </c>
      <c r="B1134" s="28" t="s">
        <v>1184</v>
      </c>
      <c r="C1134" s="79">
        <v>2000</v>
      </c>
      <c r="D1134" s="79">
        <v>2100</v>
      </c>
      <c r="E1134" s="57"/>
    </row>
    <row r="1135" spans="1:5" ht="16" thickBot="1" x14ac:dyDescent="0.3">
      <c r="A1135" s="41">
        <v>11536</v>
      </c>
      <c r="B1135" s="28" t="s">
        <v>1185</v>
      </c>
      <c r="C1135" s="79">
        <v>700</v>
      </c>
      <c r="D1135" s="79">
        <v>800</v>
      </c>
      <c r="E1135" s="57"/>
    </row>
    <row r="1136" spans="1:5" ht="16" thickBot="1" x14ac:dyDescent="0.3">
      <c r="A1136" s="41">
        <v>11902</v>
      </c>
      <c r="B1136" s="28" t="s">
        <v>1186</v>
      </c>
      <c r="C1136" s="79">
        <v>300</v>
      </c>
      <c r="D1136" s="79">
        <v>400</v>
      </c>
      <c r="E1136" s="57"/>
    </row>
    <row r="1137" spans="1:5" ht="16" thickBot="1" x14ac:dyDescent="0.3">
      <c r="A1137" s="53"/>
      <c r="B1137" s="61" t="s">
        <v>1187</v>
      </c>
      <c r="C1137" s="80"/>
      <c r="D1137" s="62"/>
      <c r="E1137" s="57"/>
    </row>
    <row r="1138" spans="1:5" ht="16" thickBot="1" x14ac:dyDescent="0.3">
      <c r="A1138" s="41">
        <v>12267</v>
      </c>
      <c r="B1138" s="28" t="e">
        <f>- těžkého stupně až ztuhnutí</f>
        <v>#NAME?</v>
      </c>
      <c r="C1138" s="79">
        <v>500</v>
      </c>
      <c r="D1138" s="79">
        <v>600</v>
      </c>
      <c r="E1138" s="57"/>
    </row>
    <row r="1139" spans="1:5" ht="16" thickBot="1" x14ac:dyDescent="0.3">
      <c r="A1139" s="41">
        <v>12632</v>
      </c>
      <c r="B1139" s="28" t="e">
        <f>- středního stupně</f>
        <v>#NAME?</v>
      </c>
      <c r="C1139" s="79">
        <v>400</v>
      </c>
      <c r="D1139" s="79">
        <v>500</v>
      </c>
      <c r="E1139" s="57"/>
    </row>
    <row r="1140" spans="1:5" ht="16" thickBot="1" x14ac:dyDescent="0.3">
      <c r="A1140" s="41">
        <v>12997</v>
      </c>
      <c r="B1140" s="28" t="e">
        <f>- lehkého stupně</f>
        <v>#NAME?</v>
      </c>
      <c r="C1140" s="79">
        <v>300</v>
      </c>
      <c r="D1140" s="79">
        <v>400</v>
      </c>
      <c r="E1140" s="57"/>
    </row>
    <row r="1141" spans="1:5" ht="16" thickBot="1" x14ac:dyDescent="0.3">
      <c r="A1141" s="53"/>
      <c r="B1141" s="61" t="s">
        <v>1188</v>
      </c>
      <c r="C1141" s="80"/>
      <c r="D1141" s="62"/>
      <c r="E1141" s="57"/>
    </row>
    <row r="1142" spans="1:5" ht="16" thickBot="1" x14ac:dyDescent="0.3">
      <c r="A1142" s="41">
        <v>13363</v>
      </c>
      <c r="B1142" s="28" t="e">
        <f>- včetně záprstní kosti</f>
        <v>#NAME?</v>
      </c>
      <c r="C1142" s="79">
        <v>1300</v>
      </c>
      <c r="D1142" s="79">
        <v>1400</v>
      </c>
      <c r="E1142" s="57"/>
    </row>
    <row r="1143" spans="1:5" ht="16" thickBot="1" x14ac:dyDescent="0.3">
      <c r="A1143" s="41">
        <v>13728</v>
      </c>
      <c r="B1143" s="28" t="e">
        <f>- obou článků</f>
        <v>#NAME?</v>
      </c>
      <c r="C1143" s="79">
        <v>1100</v>
      </c>
      <c r="D1143" s="79">
        <v>1200</v>
      </c>
      <c r="E1143" s="57"/>
    </row>
    <row r="1144" spans="1:5" ht="16" thickBot="1" x14ac:dyDescent="0.3">
      <c r="A1144" s="41">
        <v>14093</v>
      </c>
      <c r="B1144" s="28" t="e">
        <f>- koncového článku</f>
        <v>#NAME?</v>
      </c>
      <c r="C1144" s="79">
        <v>800</v>
      </c>
      <c r="D1144" s="79">
        <v>900</v>
      </c>
      <c r="E1144" s="57"/>
    </row>
    <row r="1145" spans="1:5" ht="27.65" customHeight="1" thickBot="1" x14ac:dyDescent="0.3">
      <c r="A1145" s="44"/>
      <c r="B1145" s="61" t="s">
        <v>1189</v>
      </c>
      <c r="C1145" s="80"/>
      <c r="D1145" s="62"/>
      <c r="E1145" s="57"/>
    </row>
    <row r="1146" spans="1:5" ht="16" thickBot="1" x14ac:dyDescent="0.3">
      <c r="A1146" s="41">
        <v>14458</v>
      </c>
      <c r="B1146" s="28" t="e">
        <f>- úplná</f>
        <v>#NAME?</v>
      </c>
      <c r="C1146" s="79">
        <v>700</v>
      </c>
      <c r="D1146" s="79">
        <v>800</v>
      </c>
      <c r="E1146" s="57"/>
    </row>
    <row r="1147" spans="1:5" ht="16" thickBot="1" x14ac:dyDescent="0.3">
      <c r="A1147" s="41">
        <v>14824</v>
      </c>
      <c r="B1147" s="28" t="e">
        <f>- základního kloubu palce</f>
        <v>#NAME?</v>
      </c>
      <c r="C1147" s="79">
        <v>600</v>
      </c>
      <c r="D1147" s="79">
        <v>700</v>
      </c>
      <c r="E1147" s="57"/>
    </row>
    <row r="1148" spans="1:5" ht="16" thickBot="1" x14ac:dyDescent="0.3">
      <c r="A1148" s="41">
        <v>15189</v>
      </c>
      <c r="B1148" s="28" t="e">
        <f>- karpometakarpálního kloubu palce</f>
        <v>#NAME?</v>
      </c>
      <c r="C1148" s="79">
        <v>800</v>
      </c>
      <c r="D1148" s="79">
        <v>900</v>
      </c>
      <c r="E1148" s="57"/>
    </row>
    <row r="1149" spans="1:5" ht="16" thickBot="1" x14ac:dyDescent="0.3">
      <c r="A1149" s="41">
        <v>15554</v>
      </c>
      <c r="B1149" s="28" t="e">
        <f>- všech kloubů palce</f>
        <v>#NAME?</v>
      </c>
      <c r="C1149" s="79">
        <v>1100</v>
      </c>
      <c r="D1149" s="79">
        <v>1200</v>
      </c>
      <c r="E1149" s="57"/>
    </row>
    <row r="1150" spans="1:5" ht="16" thickBot="1" x14ac:dyDescent="0.3">
      <c r="A1150" s="41">
        <v>15919</v>
      </c>
      <c r="B1150" s="28" t="s">
        <v>1190</v>
      </c>
      <c r="C1150" s="79">
        <v>200</v>
      </c>
      <c r="D1150" s="79">
        <v>300</v>
      </c>
      <c r="E1150" s="57"/>
    </row>
    <row r="1151" spans="1:5" ht="27.65" customHeight="1" thickBot="1" x14ac:dyDescent="0.3">
      <c r="A1151" s="44"/>
      <c r="B1151" s="61" t="s">
        <v>1191</v>
      </c>
      <c r="C1151" s="80"/>
      <c r="D1151" s="62"/>
      <c r="E1151" s="57"/>
    </row>
    <row r="1152" spans="1:5" ht="16" thickBot="1" x14ac:dyDescent="0.3">
      <c r="A1152" s="41">
        <v>16285</v>
      </c>
      <c r="B1152" s="28" t="e">
        <f>- těžkého stupně</f>
        <v>#NAME?</v>
      </c>
      <c r="C1152" s="79">
        <v>900</v>
      </c>
      <c r="D1152" s="79">
        <v>1000</v>
      </c>
      <c r="E1152" s="57"/>
    </row>
    <row r="1153" spans="1:5" ht="16" thickBot="1" x14ac:dyDescent="0.3">
      <c r="A1153" s="41">
        <v>16650</v>
      </c>
      <c r="B1153" s="28" t="e">
        <f>- středního stupně</f>
        <v>#NAME?</v>
      </c>
      <c r="C1153" s="79">
        <v>700</v>
      </c>
      <c r="D1153" s="79">
        <v>800</v>
      </c>
      <c r="E1153" s="57"/>
    </row>
    <row r="1154" spans="1:5" ht="16" thickBot="1" x14ac:dyDescent="0.3">
      <c r="A1154" s="41">
        <v>17015</v>
      </c>
      <c r="B1154" s="28" t="e">
        <f>- lehkého stupně</f>
        <v>#NAME?</v>
      </c>
      <c r="C1154" s="79">
        <v>500</v>
      </c>
      <c r="D1154" s="79">
        <v>600</v>
      </c>
      <c r="E1154" s="57"/>
    </row>
    <row r="1155" spans="1:5" ht="16" thickBot="1" x14ac:dyDescent="0.3">
      <c r="A1155" s="53"/>
      <c r="B1155" s="61" t="s">
        <v>1192</v>
      </c>
      <c r="C1155" s="80"/>
      <c r="D1155" s="62"/>
      <c r="E1155" s="57"/>
    </row>
    <row r="1156" spans="1:5" ht="16" thickBot="1" x14ac:dyDescent="0.3">
      <c r="A1156" s="41">
        <v>17380</v>
      </c>
      <c r="B1156" s="28" t="e">
        <f>- se záprstní kostí</f>
        <v>#NAME?</v>
      </c>
      <c r="C1156" s="79">
        <v>900</v>
      </c>
      <c r="D1156" s="79">
        <v>1000</v>
      </c>
      <c r="E1156" s="57"/>
    </row>
    <row r="1157" spans="1:5" ht="16" thickBot="1" x14ac:dyDescent="0.3">
      <c r="A1157" s="41">
        <v>17746</v>
      </c>
      <c r="B1157" s="28" t="e">
        <f>- všech tří článků</f>
        <v>#NAME?</v>
      </c>
      <c r="C1157" s="79">
        <v>700</v>
      </c>
      <c r="D1157" s="79">
        <v>800</v>
      </c>
      <c r="E1157" s="57"/>
    </row>
    <row r="1158" spans="1:5" ht="16" thickBot="1" x14ac:dyDescent="0.3">
      <c r="A1158" s="41">
        <v>18111</v>
      </c>
      <c r="B1158" s="28" t="e">
        <f>- dvou článků</f>
        <v>#NAME?</v>
      </c>
      <c r="C1158" s="79">
        <v>500</v>
      </c>
      <c r="D1158" s="79">
        <v>600</v>
      </c>
      <c r="E1158" s="57"/>
    </row>
    <row r="1159" spans="1:5" ht="16" thickBot="1" x14ac:dyDescent="0.3">
      <c r="A1159" s="41">
        <v>18476</v>
      </c>
      <c r="B1159" s="28" t="e">
        <f>- koncového článku</f>
        <v>#NAME?</v>
      </c>
      <c r="C1159" s="79">
        <v>300</v>
      </c>
      <c r="D1159" s="79">
        <v>400</v>
      </c>
      <c r="E1159" s="57"/>
    </row>
    <row r="1160" spans="1:5" ht="16" thickBot="1" x14ac:dyDescent="0.3">
      <c r="A1160" s="48"/>
      <c r="B1160" s="61" t="s">
        <v>1193</v>
      </c>
      <c r="C1160" s="80"/>
      <c r="D1160" s="62"/>
      <c r="E1160" s="57"/>
    </row>
    <row r="1161" spans="1:5" ht="16" thickBot="1" x14ac:dyDescent="0.3">
      <c r="A1161" s="41">
        <v>18841</v>
      </c>
      <c r="B1161" s="28" t="e">
        <f>- všech tří kloubů</f>
        <v>#NAME?</v>
      </c>
      <c r="C1161" s="79">
        <v>600</v>
      </c>
      <c r="D1161" s="79">
        <v>700</v>
      </c>
      <c r="E1161" s="57"/>
    </row>
    <row r="1162" spans="1:5" ht="16" thickBot="1" x14ac:dyDescent="0.3">
      <c r="A1162" s="41">
        <v>19207</v>
      </c>
      <c r="B1162" s="28" t="e">
        <f>- dvou kloubů</f>
        <v>#NAME?</v>
      </c>
      <c r="C1162" s="79">
        <v>400</v>
      </c>
      <c r="D1162" s="79">
        <v>500</v>
      </c>
      <c r="E1162" s="57"/>
    </row>
    <row r="1163" spans="1:5" ht="16" thickBot="1" x14ac:dyDescent="0.3">
      <c r="A1163" s="41">
        <v>19572</v>
      </c>
      <c r="B1163" s="28" t="e">
        <f>-jednoho kloubu</f>
        <v>#NAME?</v>
      </c>
      <c r="C1163" s="79">
        <v>200</v>
      </c>
      <c r="D1163" s="79">
        <v>300</v>
      </c>
      <c r="E1163" s="57"/>
    </row>
    <row r="1164" spans="1:5" ht="27.65" customHeight="1" thickBot="1" x14ac:dyDescent="0.3">
      <c r="A1164" s="48"/>
      <c r="B1164" s="61" t="s">
        <v>1194</v>
      </c>
      <c r="C1164" s="80"/>
      <c r="D1164" s="62"/>
      <c r="E1164" s="57"/>
    </row>
    <row r="1165" spans="1:5" ht="16" thickBot="1" x14ac:dyDescent="0.3">
      <c r="A1165" s="41">
        <v>19937</v>
      </c>
      <c r="B1165" s="28" t="e">
        <f>- těžkého stupně</f>
        <v>#NAME?</v>
      </c>
      <c r="C1165" s="79">
        <v>700</v>
      </c>
      <c r="D1165" s="79">
        <v>800</v>
      </c>
      <c r="E1165" s="57"/>
    </row>
    <row r="1166" spans="1:5" ht="16" thickBot="1" x14ac:dyDescent="0.3">
      <c r="A1166" s="41">
        <v>20302</v>
      </c>
      <c r="B1166" s="28" t="e">
        <f>- středního stupně</f>
        <v>#NAME?</v>
      </c>
      <c r="C1166" s="79">
        <v>500</v>
      </c>
      <c r="D1166" s="79">
        <v>600</v>
      </c>
      <c r="E1166" s="57"/>
    </row>
    <row r="1167" spans="1:5" ht="16" thickBot="1" x14ac:dyDescent="0.3">
      <c r="A1167" s="41">
        <v>20668</v>
      </c>
      <c r="B1167" s="28" t="e">
        <f>- lehkého stupně</f>
        <v>#NAME?</v>
      </c>
      <c r="C1167" s="79">
        <v>300</v>
      </c>
      <c r="D1167" s="79">
        <v>400</v>
      </c>
      <c r="E1167" s="57"/>
    </row>
    <row r="1168" spans="1:5" ht="16" thickBot="1" x14ac:dyDescent="0.3">
      <c r="A1168" s="44"/>
      <c r="B1168" s="61" t="s">
        <v>1195</v>
      </c>
      <c r="C1168" s="80"/>
      <c r="D1168" s="62"/>
      <c r="E1168" s="57"/>
    </row>
    <row r="1169" spans="1:5" ht="16" thickBot="1" x14ac:dyDescent="0.3">
      <c r="A1169" s="41">
        <v>21033</v>
      </c>
      <c r="B1169" s="28" t="e">
        <f>- se záprstní kostí</f>
        <v>#NAME?</v>
      </c>
      <c r="C1169" s="79">
        <v>500</v>
      </c>
      <c r="D1169" s="79">
        <v>600</v>
      </c>
      <c r="E1169" s="57"/>
    </row>
    <row r="1170" spans="1:5" ht="16" thickBot="1" x14ac:dyDescent="0.3">
      <c r="A1170" s="41">
        <v>21398</v>
      </c>
      <c r="B1170" s="28" t="e">
        <f>- všech tří článků</f>
        <v>#NAME?</v>
      </c>
      <c r="C1170" s="79">
        <v>400</v>
      </c>
      <c r="D1170" s="79">
        <v>500</v>
      </c>
      <c r="E1170" s="57"/>
    </row>
    <row r="1171" spans="1:5" ht="16" thickBot="1" x14ac:dyDescent="0.3">
      <c r="A1171" s="41">
        <v>21763</v>
      </c>
      <c r="B1171" s="28" t="e">
        <f>- dvou článků</f>
        <v>#NAME?</v>
      </c>
      <c r="C1171" s="79">
        <v>300</v>
      </c>
      <c r="D1171" s="79">
        <v>400</v>
      </c>
      <c r="E1171" s="57"/>
    </row>
    <row r="1172" spans="1:5" ht="16" thickBot="1" x14ac:dyDescent="0.3">
      <c r="A1172" s="41">
        <v>22129</v>
      </c>
      <c r="B1172" s="28" t="e">
        <f>- jednoho článku</f>
        <v>#NAME?</v>
      </c>
      <c r="C1172" s="79">
        <v>200</v>
      </c>
      <c r="D1172" s="79">
        <v>300</v>
      </c>
      <c r="E1172" s="57"/>
    </row>
    <row r="1173" spans="1:5" ht="27.65" customHeight="1" thickBot="1" x14ac:dyDescent="0.3">
      <c r="A1173" s="44"/>
      <c r="B1173" s="61" t="s">
        <v>1196</v>
      </c>
      <c r="C1173" s="80"/>
      <c r="D1173" s="62"/>
      <c r="E1173" s="57"/>
    </row>
    <row r="1174" spans="1:5" ht="16" thickBot="1" x14ac:dyDescent="0.3">
      <c r="A1174" s="41">
        <v>22494</v>
      </c>
      <c r="B1174" s="28" t="e">
        <f>- všech tří kloubů</f>
        <v>#NAME?</v>
      </c>
      <c r="C1174" s="79">
        <v>300</v>
      </c>
      <c r="D1174" s="79">
        <v>400</v>
      </c>
      <c r="E1174" s="57"/>
    </row>
    <row r="1175" spans="1:5" ht="16" thickBot="1" x14ac:dyDescent="0.3">
      <c r="A1175" s="41">
        <v>22859</v>
      </c>
      <c r="B1175" s="28" t="e">
        <f>- dvou kloubů</f>
        <v>#NAME?</v>
      </c>
      <c r="C1175" s="79">
        <v>100</v>
      </c>
      <c r="D1175" s="79">
        <v>200</v>
      </c>
      <c r="E1175" s="57"/>
    </row>
    <row r="1176" spans="1:5" ht="16" thickBot="1" x14ac:dyDescent="0.3">
      <c r="A1176" s="41">
        <v>23224</v>
      </c>
      <c r="B1176" s="28" t="s">
        <v>1197</v>
      </c>
      <c r="C1176" s="79">
        <v>100</v>
      </c>
      <c r="D1176" s="79">
        <v>100</v>
      </c>
      <c r="E1176" s="57"/>
    </row>
    <row r="1177" spans="1:5" ht="28.5" thickBot="1" x14ac:dyDescent="0.3">
      <c r="A1177" s="41">
        <v>23590</v>
      </c>
      <c r="B1177" s="28" t="s">
        <v>1198</v>
      </c>
      <c r="C1177" s="79" t="s">
        <v>1119</v>
      </c>
      <c r="D1177" s="79" t="s">
        <v>1148</v>
      </c>
      <c r="E1177" s="57"/>
    </row>
    <row r="1178" spans="1:5" ht="28.5" thickBot="1" x14ac:dyDescent="0.3">
      <c r="A1178" s="41">
        <v>23955</v>
      </c>
      <c r="B1178" s="28" t="s">
        <v>1199</v>
      </c>
      <c r="C1178" s="79" t="s">
        <v>1200</v>
      </c>
      <c r="D1178" s="79" t="s">
        <v>1201</v>
      </c>
      <c r="E1178" s="57"/>
    </row>
    <row r="1179" spans="1:5" ht="28.5" thickBot="1" x14ac:dyDescent="0.3">
      <c r="A1179" s="41">
        <v>24320</v>
      </c>
      <c r="B1179" s="28" t="s">
        <v>1202</v>
      </c>
      <c r="C1179" s="79" t="s">
        <v>1148</v>
      </c>
      <c r="D1179" s="79" t="s">
        <v>1203</v>
      </c>
      <c r="E1179" s="57"/>
    </row>
    <row r="1180" spans="1:5" ht="31.5" thickBot="1" x14ac:dyDescent="0.3">
      <c r="A1180" s="41">
        <v>24685</v>
      </c>
      <c r="B1180" s="28" t="s">
        <v>1204</v>
      </c>
      <c r="C1180" s="79" t="s">
        <v>1148</v>
      </c>
      <c r="D1180" s="79" t="s">
        <v>1203</v>
      </c>
      <c r="E1180" s="57"/>
    </row>
    <row r="1181" spans="1:5" ht="28.5" thickBot="1" x14ac:dyDescent="0.3">
      <c r="A1181" s="41">
        <v>25051</v>
      </c>
      <c r="B1181" s="28" t="s">
        <v>1205</v>
      </c>
      <c r="C1181" s="79" t="s">
        <v>1206</v>
      </c>
      <c r="D1181" s="79" t="s">
        <v>1207</v>
      </c>
      <c r="E1181" s="57"/>
    </row>
    <row r="1182" spans="1:5" ht="16" thickBot="1" x14ac:dyDescent="0.3">
      <c r="A1182" s="41" t="s">
        <v>336</v>
      </c>
      <c r="B1182" s="65" t="s">
        <v>1208</v>
      </c>
      <c r="C1182" s="78"/>
      <c r="D1182" s="66"/>
      <c r="E1182" s="57"/>
    </row>
    <row r="1183" spans="1:5" ht="55.15" customHeight="1" thickBot="1" x14ac:dyDescent="0.3">
      <c r="A1183" s="48"/>
      <c r="B1183" s="61" t="s">
        <v>1209</v>
      </c>
      <c r="C1183" s="80"/>
      <c r="D1183" s="62"/>
      <c r="E1183" s="57"/>
    </row>
    <row r="1184" spans="1:5" ht="16" thickBot="1" x14ac:dyDescent="0.3">
      <c r="A1184" s="23">
        <v>45666</v>
      </c>
      <c r="B1184" s="28" t="e">
        <f>- s pahýlem nevhodným k protézování</f>
        <v>#NAME?</v>
      </c>
      <c r="C1184" s="63"/>
      <c r="D1184" s="79">
        <v>4000</v>
      </c>
      <c r="E1184" s="57"/>
    </row>
    <row r="1185" spans="1:5" ht="16" thickBot="1" x14ac:dyDescent="0.3">
      <c r="A1185" s="23">
        <v>45697</v>
      </c>
      <c r="B1185" s="28" t="e">
        <f>- s pahýlem vhodným k protézování</f>
        <v>#NAME?</v>
      </c>
      <c r="C1185" s="63"/>
      <c r="D1185" s="79">
        <v>2800</v>
      </c>
      <c r="E1185" s="57"/>
    </row>
    <row r="1186" spans="1:5" ht="16" thickBot="1" x14ac:dyDescent="0.3">
      <c r="A1186" s="23">
        <v>45725</v>
      </c>
      <c r="B1186" s="28" t="s">
        <v>1210</v>
      </c>
      <c r="C1186" s="63"/>
      <c r="D1186" s="79">
        <v>2400</v>
      </c>
      <c r="E1186" s="57"/>
    </row>
    <row r="1187" spans="1:5" ht="16" thickBot="1" x14ac:dyDescent="0.3">
      <c r="A1187" s="23">
        <v>45756</v>
      </c>
      <c r="B1187" s="28" t="s">
        <v>1211</v>
      </c>
      <c r="C1187" s="63"/>
      <c r="D1187" s="79">
        <v>1400</v>
      </c>
      <c r="E1187" s="57"/>
    </row>
    <row r="1188" spans="1:5" ht="27.65" customHeight="1" thickBot="1" x14ac:dyDescent="0.3">
      <c r="A1188" s="48"/>
      <c r="B1188" s="61" t="s">
        <v>1212</v>
      </c>
      <c r="C1188" s="80"/>
      <c r="D1188" s="62"/>
      <c r="E1188" s="57"/>
    </row>
    <row r="1189" spans="1:5" ht="16" thickBot="1" x14ac:dyDescent="0.3">
      <c r="A1189" s="23">
        <v>45786</v>
      </c>
      <c r="B1189" s="28" t="s">
        <v>1213</v>
      </c>
      <c r="C1189" s="63"/>
      <c r="D1189" s="79">
        <v>200</v>
      </c>
      <c r="E1189" s="57"/>
    </row>
    <row r="1190" spans="1:5" ht="16" thickBot="1" x14ac:dyDescent="0.3">
      <c r="A1190" s="23">
        <v>45817</v>
      </c>
      <c r="B1190" s="28" t="s">
        <v>1214</v>
      </c>
      <c r="C1190" s="63"/>
      <c r="D1190" s="79">
        <v>600</v>
      </c>
      <c r="E1190" s="57"/>
    </row>
    <row r="1191" spans="1:5" ht="16" thickBot="1" x14ac:dyDescent="0.3">
      <c r="A1191" s="23">
        <v>45847</v>
      </c>
      <c r="B1191" s="28" t="s">
        <v>1215</v>
      </c>
      <c r="C1191" s="63"/>
      <c r="D1191" s="79">
        <v>1000</v>
      </c>
      <c r="E1191" s="57"/>
    </row>
    <row r="1192" spans="1:5" ht="16" thickBot="1" x14ac:dyDescent="0.3">
      <c r="A1192" s="23">
        <v>45878</v>
      </c>
      <c r="B1192" s="28" t="s">
        <v>1216</v>
      </c>
      <c r="C1192" s="63"/>
      <c r="D1192" s="79">
        <v>800</v>
      </c>
      <c r="E1192" s="57"/>
    </row>
    <row r="1193" spans="1:5" ht="27.65" customHeight="1" thickBot="1" x14ac:dyDescent="0.3">
      <c r="A1193" s="48"/>
      <c r="B1193" s="61" t="s">
        <v>1217</v>
      </c>
      <c r="C1193" s="80"/>
      <c r="D1193" s="62"/>
      <c r="E1193" s="57"/>
    </row>
    <row r="1194" spans="1:5" ht="16" thickBot="1" x14ac:dyDescent="0.3">
      <c r="A1194" s="23">
        <v>45909</v>
      </c>
      <c r="B1194" s="28" t="e">
        <f>- úplná ztuhlost</f>
        <v>#NAME?</v>
      </c>
      <c r="C1194" s="63"/>
      <c r="D1194" s="79">
        <v>2000</v>
      </c>
      <c r="E1194" s="57"/>
    </row>
    <row r="1195" spans="1:5" ht="16" thickBot="1" x14ac:dyDescent="0.3">
      <c r="A1195" s="23">
        <v>45939</v>
      </c>
      <c r="B1195" s="28" t="e">
        <f>- omezení pohyblivosti těžkého stupně</f>
        <v>#NAME?</v>
      </c>
      <c r="C1195" s="63"/>
      <c r="D1195" s="79">
        <v>1600</v>
      </c>
      <c r="E1195" s="57"/>
    </row>
    <row r="1196" spans="1:5" ht="16" thickBot="1" x14ac:dyDescent="0.3">
      <c r="A1196" s="23">
        <v>45970</v>
      </c>
      <c r="B1196" s="28" t="e">
        <f>- středního stupně</f>
        <v>#NAME?</v>
      </c>
      <c r="C1196" s="63"/>
      <c r="D1196" s="79">
        <v>1200</v>
      </c>
      <c r="E1196" s="57"/>
    </row>
    <row r="1197" spans="1:5" ht="16" thickBot="1" x14ac:dyDescent="0.3">
      <c r="A1197" s="23">
        <v>46000</v>
      </c>
      <c r="B1197" s="28" t="e">
        <f>- lehkého stupně</f>
        <v>#NAME?</v>
      </c>
      <c r="C1197" s="63"/>
      <c r="D1197" s="79">
        <v>800</v>
      </c>
      <c r="E1197" s="57"/>
    </row>
    <row r="1198" spans="1:5" ht="27.65" customHeight="1" thickBot="1" x14ac:dyDescent="0.3">
      <c r="A1198" s="48"/>
      <c r="B1198" s="61" t="s">
        <v>1218</v>
      </c>
      <c r="C1198" s="80"/>
      <c r="D1198" s="62"/>
      <c r="E1198" s="57"/>
    </row>
    <row r="1199" spans="1:5" ht="16" thickBot="1" x14ac:dyDescent="0.3">
      <c r="A1199" s="41">
        <v>41518</v>
      </c>
      <c r="B1199" s="28" t="e">
        <f>- úplná ztuhlost</f>
        <v>#NAME?</v>
      </c>
      <c r="C1199" s="63"/>
      <c r="D1199" s="79">
        <v>1600</v>
      </c>
      <c r="E1199" s="57"/>
    </row>
    <row r="1200" spans="1:5" ht="16" thickBot="1" x14ac:dyDescent="0.3">
      <c r="A1200" s="41">
        <v>41883</v>
      </c>
      <c r="B1200" s="28" t="e">
        <f>- omezení pohyblivosti těžkého stupně</f>
        <v>#NAME?</v>
      </c>
      <c r="C1200" s="63"/>
      <c r="D1200" s="79">
        <v>1600</v>
      </c>
      <c r="E1200" s="57"/>
    </row>
    <row r="1201" spans="1:5" ht="16" thickBot="1" x14ac:dyDescent="0.3">
      <c r="A1201" s="41">
        <v>42248</v>
      </c>
      <c r="B1201" s="28" t="e">
        <f>- středního stupně</f>
        <v>#NAME?</v>
      </c>
      <c r="C1201" s="63"/>
      <c r="D1201" s="79">
        <v>1200</v>
      </c>
      <c r="E1201" s="57"/>
    </row>
    <row r="1202" spans="1:5" ht="16" thickBot="1" x14ac:dyDescent="0.3">
      <c r="A1202" s="41">
        <v>42614</v>
      </c>
      <c r="B1202" s="28" t="e">
        <f>- lehkého stupně</f>
        <v>#NAME?</v>
      </c>
      <c r="C1202" s="63"/>
      <c r="D1202" s="79">
        <v>800</v>
      </c>
      <c r="E1202" s="57"/>
    </row>
    <row r="1203" spans="1:5" ht="27.65" customHeight="1" thickBot="1" x14ac:dyDescent="0.3">
      <c r="A1203" s="48"/>
      <c r="B1203" s="61" t="s">
        <v>1219</v>
      </c>
      <c r="C1203" s="80"/>
      <c r="D1203" s="62"/>
      <c r="E1203" s="57"/>
    </row>
    <row r="1204" spans="1:5" ht="16" thickBot="1" x14ac:dyDescent="0.3">
      <c r="A1204" s="41">
        <v>42979</v>
      </c>
      <c r="B1204" s="28" t="e">
        <f>- těžkého stupně (nutnost podpůrné fixace při běžné zátěži)</f>
        <v>#NAME?</v>
      </c>
      <c r="C1204" s="63"/>
      <c r="D1204" s="79">
        <v>1000</v>
      </c>
      <c r="E1204" s="57"/>
    </row>
    <row r="1205" spans="1:5" ht="16" thickBot="1" x14ac:dyDescent="0.3">
      <c r="A1205" s="41">
        <v>43344</v>
      </c>
      <c r="B1205" s="28" t="e">
        <f>- středně těžkého stupně (nutnost podpůrné fixace při těžké zátěži)</f>
        <v>#NAME?</v>
      </c>
      <c r="C1205" s="63"/>
      <c r="D1205" s="79">
        <v>500</v>
      </c>
      <c r="E1205" s="57"/>
    </row>
    <row r="1206" spans="1:5" ht="16" thickBot="1" x14ac:dyDescent="0.3">
      <c r="A1206" s="41">
        <v>43709</v>
      </c>
      <c r="B1206" s="28" t="e">
        <f>- lehkého stupně (neovlivňuje významně běžný život)</f>
        <v>#NAME?</v>
      </c>
      <c r="C1206" s="63"/>
      <c r="D1206" s="79">
        <v>200</v>
      </c>
      <c r="E1206" s="57"/>
    </row>
    <row r="1207" spans="1:5" ht="31.5" thickBot="1" x14ac:dyDescent="0.3">
      <c r="A1207" s="41">
        <v>44075</v>
      </c>
      <c r="B1207" s="28" t="s">
        <v>1220</v>
      </c>
      <c r="C1207" s="63"/>
      <c r="D1207" s="79">
        <v>1400</v>
      </c>
      <c r="E1207" s="57"/>
    </row>
    <row r="1208" spans="1:5" ht="16" thickBot="1" x14ac:dyDescent="0.3">
      <c r="A1208" s="41">
        <v>44440</v>
      </c>
      <c r="B1208" s="28" t="s">
        <v>1221</v>
      </c>
      <c r="C1208" s="63"/>
      <c r="D1208" s="79">
        <v>1400</v>
      </c>
      <c r="E1208" s="57"/>
    </row>
    <row r="1209" spans="1:5" ht="27.65" customHeight="1" thickBot="1" x14ac:dyDescent="0.3">
      <c r="A1209" s="48"/>
      <c r="B1209" s="61" t="s">
        <v>1222</v>
      </c>
      <c r="C1209" s="80"/>
      <c r="D1209" s="62"/>
      <c r="E1209" s="57"/>
    </row>
    <row r="1210" spans="1:5" ht="16" thickBot="1" x14ac:dyDescent="0.3">
      <c r="A1210" s="41">
        <v>44805</v>
      </c>
      <c r="B1210" s="28" t="e">
        <f>- s pahýlem nevhodným k protézování</f>
        <v>#NAME?</v>
      </c>
      <c r="C1210" s="63"/>
      <c r="D1210" s="79">
        <v>2600</v>
      </c>
      <c r="E1210" s="57"/>
    </row>
    <row r="1211" spans="1:5" ht="16" thickBot="1" x14ac:dyDescent="0.3">
      <c r="A1211" s="41">
        <v>45170</v>
      </c>
      <c r="B1211" s="28" t="e">
        <f>- s pahýlem vhodným k protézování</f>
        <v>#NAME?</v>
      </c>
      <c r="C1211" s="63"/>
      <c r="D1211" s="79">
        <v>2000</v>
      </c>
      <c r="E1211" s="57"/>
    </row>
    <row r="1212" spans="1:5" ht="27.65" customHeight="1" thickBot="1" x14ac:dyDescent="0.3">
      <c r="A1212" s="48"/>
      <c r="B1212" s="61" t="s">
        <v>1223</v>
      </c>
      <c r="C1212" s="80"/>
      <c r="D1212" s="62"/>
      <c r="E1212" s="57"/>
    </row>
    <row r="1213" spans="1:5" ht="16" thickBot="1" x14ac:dyDescent="0.3">
      <c r="A1213" s="41">
        <v>45536</v>
      </c>
      <c r="B1213" s="28" t="e">
        <f>- s pahýlem nevhodným k protézování</f>
        <v>#NAME?</v>
      </c>
      <c r="C1213" s="63"/>
      <c r="D1213" s="79">
        <v>2800</v>
      </c>
      <c r="E1213" s="57"/>
    </row>
    <row r="1214" spans="1:5" ht="16" thickBot="1" x14ac:dyDescent="0.3">
      <c r="A1214" s="41">
        <v>45901</v>
      </c>
      <c r="B1214" s="28" t="e">
        <f>- s pahýlem vhodným k protézování</f>
        <v>#NAME?</v>
      </c>
      <c r="C1214" s="63"/>
      <c r="D1214" s="79">
        <v>2200</v>
      </c>
      <c r="E1214" s="57"/>
    </row>
    <row r="1215" spans="1:5" ht="16" thickBot="1" x14ac:dyDescent="0.3">
      <c r="A1215" s="41">
        <v>46266</v>
      </c>
      <c r="B1215" s="28" t="s">
        <v>1224</v>
      </c>
      <c r="C1215" s="63"/>
      <c r="D1215" s="79">
        <v>2000</v>
      </c>
      <c r="E1215" s="57"/>
    </row>
    <row r="1216" spans="1:5" ht="16" thickBot="1" x14ac:dyDescent="0.3">
      <c r="A1216" s="41">
        <v>46631</v>
      </c>
      <c r="B1216" s="28" t="s">
        <v>1225</v>
      </c>
      <c r="C1216" s="63"/>
      <c r="D1216" s="79">
        <v>1000</v>
      </c>
      <c r="E1216" s="57"/>
    </row>
    <row r="1217" spans="1:5" ht="16" thickBot="1" x14ac:dyDescent="0.3">
      <c r="A1217" s="41">
        <v>46997</v>
      </c>
      <c r="B1217" s="28" t="s">
        <v>1226</v>
      </c>
      <c r="C1217" s="63"/>
      <c r="D1217" s="79">
        <v>1400</v>
      </c>
      <c r="E1217" s="57"/>
    </row>
    <row r="1218" spans="1:5" ht="16" thickBot="1" x14ac:dyDescent="0.3">
      <c r="A1218" s="41">
        <v>47362</v>
      </c>
      <c r="B1218" s="28" t="s">
        <v>1227</v>
      </c>
      <c r="C1218" s="63"/>
      <c r="D1218" s="79">
        <v>2000</v>
      </c>
      <c r="E1218" s="57"/>
    </row>
    <row r="1219" spans="1:5" ht="16" thickBot="1" x14ac:dyDescent="0.3">
      <c r="A1219" s="41">
        <v>11202</v>
      </c>
      <c r="B1219" s="28" t="s">
        <v>1228</v>
      </c>
      <c r="C1219" s="63"/>
      <c r="D1219" s="79">
        <v>1800</v>
      </c>
      <c r="E1219" s="57"/>
    </row>
    <row r="1220" spans="1:5" ht="16" thickBot="1" x14ac:dyDescent="0.3">
      <c r="A1220" s="41">
        <v>11567</v>
      </c>
      <c r="B1220" s="28" t="s">
        <v>1229</v>
      </c>
      <c r="C1220" s="63"/>
      <c r="D1220" s="79">
        <v>1400</v>
      </c>
      <c r="E1220" s="57"/>
    </row>
    <row r="1221" spans="1:5" ht="27.65" customHeight="1" thickBot="1" x14ac:dyDescent="0.3">
      <c r="A1221" s="48"/>
      <c r="B1221" s="61" t="s">
        <v>1230</v>
      </c>
      <c r="C1221" s="80"/>
      <c r="D1221" s="62"/>
      <c r="E1221" s="57"/>
    </row>
    <row r="1222" spans="1:5" ht="16" thickBot="1" x14ac:dyDescent="0.3">
      <c r="A1222" s="41">
        <v>11933</v>
      </c>
      <c r="B1222" s="28" t="e">
        <f>- v příznivém postavení</f>
        <v>#NAME?</v>
      </c>
      <c r="C1222" s="63"/>
      <c r="D1222" s="79">
        <v>1200</v>
      </c>
      <c r="E1222" s="57"/>
    </row>
    <row r="1223" spans="1:5" ht="16" thickBot="1" x14ac:dyDescent="0.3">
      <c r="A1223" s="41">
        <v>12298</v>
      </c>
      <c r="B1223" s="28" t="e">
        <f>- v nepříznivém postavení</f>
        <v>#NAME?</v>
      </c>
      <c r="C1223" s="63"/>
      <c r="D1223" s="79">
        <v>1600</v>
      </c>
      <c r="E1223" s="57"/>
    </row>
    <row r="1224" spans="1:5" ht="16" thickBot="1" x14ac:dyDescent="0.3">
      <c r="A1224" s="41">
        <v>12663</v>
      </c>
      <c r="B1224" s="28" t="s">
        <v>1231</v>
      </c>
      <c r="C1224" s="63"/>
      <c r="D1224" s="63"/>
      <c r="E1224" s="57"/>
    </row>
    <row r="1225" spans="1:5" ht="16" thickBot="1" x14ac:dyDescent="0.3">
      <c r="A1225" s="41">
        <v>13028</v>
      </c>
      <c r="B1225" s="28" t="e">
        <f>- těžkého stupně</f>
        <v>#NAME?</v>
      </c>
      <c r="C1225" s="63"/>
      <c r="D1225" s="79">
        <v>1600</v>
      </c>
      <c r="E1225" s="57"/>
    </row>
    <row r="1226" spans="1:5" ht="16" thickBot="1" x14ac:dyDescent="0.3">
      <c r="A1226" s="41">
        <v>13394</v>
      </c>
      <c r="B1226" s="28" t="e">
        <f>- středního stupně</f>
        <v>#NAME?</v>
      </c>
      <c r="C1226" s="63"/>
      <c r="D1226" s="79">
        <v>1200</v>
      </c>
      <c r="E1226" s="57"/>
    </row>
    <row r="1227" spans="1:5" ht="16" thickBot="1" x14ac:dyDescent="0.3">
      <c r="A1227" s="41">
        <v>13759</v>
      </c>
      <c r="B1227" s="28" t="e">
        <f>- lehkého stupně</f>
        <v>#NAME?</v>
      </c>
      <c r="C1227" s="63"/>
      <c r="D1227" s="79">
        <v>800</v>
      </c>
      <c r="E1227" s="57"/>
    </row>
    <row r="1228" spans="1:5" ht="16" thickBot="1" x14ac:dyDescent="0.3">
      <c r="A1228" s="41">
        <v>14124</v>
      </c>
      <c r="B1228" s="28" t="s">
        <v>1232</v>
      </c>
      <c r="C1228" s="63"/>
      <c r="D1228" s="79">
        <v>1000</v>
      </c>
      <c r="E1228" s="57"/>
    </row>
    <row r="1229" spans="1:5" ht="27.65" customHeight="1" thickBot="1" x14ac:dyDescent="0.3">
      <c r="A1229" s="53"/>
      <c r="B1229" s="61" t="s">
        <v>1233</v>
      </c>
      <c r="C1229" s="80"/>
      <c r="D1229" s="62"/>
      <c r="E1229" s="57"/>
    </row>
    <row r="1230" spans="1:5" ht="16" thickBot="1" x14ac:dyDescent="0.3">
      <c r="A1230" s="41">
        <v>14489</v>
      </c>
      <c r="B1230" s="28" t="e">
        <f>- těžkého stupně</f>
        <v>#NAME?</v>
      </c>
      <c r="C1230" s="63"/>
      <c r="D1230" s="79">
        <v>600</v>
      </c>
      <c r="E1230" s="57"/>
    </row>
    <row r="1231" spans="1:5" ht="16" thickBot="1" x14ac:dyDescent="0.3">
      <c r="A1231" s="41">
        <v>14855</v>
      </c>
      <c r="B1231" s="28" t="e">
        <f>- středního stupně</f>
        <v>#NAME?</v>
      </c>
      <c r="C1231" s="63"/>
      <c r="D1231" s="79">
        <v>400</v>
      </c>
      <c r="E1231" s="57"/>
    </row>
    <row r="1232" spans="1:5" ht="16" thickBot="1" x14ac:dyDescent="0.3">
      <c r="A1232" s="41">
        <v>15220</v>
      </c>
      <c r="B1232" s="28" t="e">
        <f>- lehkého stupně</f>
        <v>#NAME?</v>
      </c>
      <c r="C1232" s="63"/>
      <c r="D1232" s="79">
        <v>200</v>
      </c>
      <c r="E1232" s="57"/>
    </row>
    <row r="1233" spans="1:5" ht="16" thickBot="1" x14ac:dyDescent="0.3">
      <c r="A1233" s="41">
        <v>15585</v>
      </c>
      <c r="B1233" s="28" t="s">
        <v>1234</v>
      </c>
      <c r="C1233" s="63"/>
      <c r="D1233" s="79">
        <v>800</v>
      </c>
      <c r="E1233" s="57"/>
    </row>
    <row r="1234" spans="1:5" ht="31.5" thickBot="1" x14ac:dyDescent="0.3">
      <c r="A1234" s="41">
        <v>15950</v>
      </c>
      <c r="B1234" s="28" t="s">
        <v>1235</v>
      </c>
      <c r="C1234" s="63"/>
      <c r="D1234" s="79">
        <v>800</v>
      </c>
      <c r="E1234" s="57"/>
    </row>
    <row r="1235" spans="1:5" ht="16" thickBot="1" x14ac:dyDescent="0.3">
      <c r="A1235" s="41">
        <v>16316</v>
      </c>
      <c r="B1235" s="28" t="s">
        <v>1236</v>
      </c>
      <c r="C1235" s="63"/>
      <c r="D1235" s="79">
        <v>600</v>
      </c>
      <c r="E1235" s="57"/>
    </row>
    <row r="1236" spans="1:5" ht="16" thickBot="1" x14ac:dyDescent="0.3">
      <c r="A1236" s="48"/>
      <c r="B1236" s="61" t="s">
        <v>1237</v>
      </c>
      <c r="C1236" s="80"/>
      <c r="D1236" s="62"/>
      <c r="E1236" s="57"/>
    </row>
    <row r="1237" spans="1:5" ht="16" thickBot="1" x14ac:dyDescent="0.3">
      <c r="A1237" s="41">
        <v>16681</v>
      </c>
      <c r="B1237" s="28" t="e">
        <f>- všech prstů</f>
        <v>#NAME?</v>
      </c>
      <c r="C1237" s="63"/>
      <c r="D1237" s="79">
        <v>1400</v>
      </c>
      <c r="E1237" s="57"/>
    </row>
    <row r="1238" spans="1:5" ht="16" thickBot="1" x14ac:dyDescent="0.3">
      <c r="A1238" s="41">
        <v>17046</v>
      </c>
      <c r="B1238" s="28" t="e">
        <f>- obou článků palce včetně záprstní kosti</f>
        <v>#NAME?</v>
      </c>
      <c r="C1238" s="63"/>
      <c r="D1238" s="79">
        <v>1400</v>
      </c>
      <c r="E1238" s="57"/>
    </row>
    <row r="1239" spans="1:5" ht="16" thickBot="1" x14ac:dyDescent="0.3">
      <c r="A1239" s="41">
        <v>17411</v>
      </c>
      <c r="B1239" s="28" t="e">
        <f>- obou článků palce</f>
        <v>#NAME?</v>
      </c>
      <c r="C1239" s="63"/>
      <c r="D1239" s="79">
        <v>1200</v>
      </c>
      <c r="E1239" s="57"/>
    </row>
    <row r="1240" spans="1:5" ht="16" thickBot="1" x14ac:dyDescent="0.3">
      <c r="A1240" s="41">
        <v>17777</v>
      </c>
      <c r="B1240" s="28" t="e">
        <f>- koncového článku palce</f>
        <v>#NAME?</v>
      </c>
      <c r="C1240" s="63"/>
      <c r="D1240" s="79">
        <v>400</v>
      </c>
      <c r="E1240" s="57"/>
    </row>
    <row r="1241" spans="1:5" ht="16" thickBot="1" x14ac:dyDescent="0.3">
      <c r="A1241" s="41">
        <v>18142</v>
      </c>
      <c r="B1241" s="28" t="e">
        <f>- malíku</f>
        <v>#NAME?</v>
      </c>
      <c r="C1241" s="63"/>
      <c r="D1241" s="79">
        <v>300</v>
      </c>
      <c r="E1241" s="57"/>
    </row>
    <row r="1242" spans="1:5" ht="16" thickBot="1" x14ac:dyDescent="0.3">
      <c r="A1242" s="41">
        <v>18507</v>
      </c>
      <c r="B1242" s="28" t="s">
        <v>1238</v>
      </c>
      <c r="C1242" s="63"/>
      <c r="D1242" s="79">
        <v>200</v>
      </c>
      <c r="E1242" s="57"/>
    </row>
    <row r="1243" spans="1:5" ht="16" thickBot="1" x14ac:dyDescent="0.3">
      <c r="A1243" s="41">
        <v>18872</v>
      </c>
      <c r="B1243" s="28" t="s">
        <v>1239</v>
      </c>
      <c r="C1243" s="63"/>
      <c r="D1243" s="79">
        <v>400</v>
      </c>
      <c r="E1243" s="57"/>
    </row>
    <row r="1244" spans="1:5" ht="16" thickBot="1" x14ac:dyDescent="0.3">
      <c r="A1244" s="41">
        <v>19238</v>
      </c>
      <c r="B1244" s="28" t="s">
        <v>1240</v>
      </c>
      <c r="C1244" s="63"/>
      <c r="D1244" s="79">
        <v>200</v>
      </c>
      <c r="E1244" s="57"/>
    </row>
    <row r="1245" spans="1:5" ht="55.15" customHeight="1" thickBot="1" x14ac:dyDescent="0.3">
      <c r="A1245" s="48"/>
      <c r="B1245" s="61" t="s">
        <v>1241</v>
      </c>
      <c r="C1245" s="80"/>
      <c r="D1245" s="62"/>
      <c r="E1245" s="57"/>
    </row>
    <row r="1246" spans="1:5" ht="16" thickBot="1" x14ac:dyDescent="0.3">
      <c r="A1246" s="41">
        <v>19603</v>
      </c>
      <c r="B1246" s="28" t="e">
        <f>- lehkého stupně</f>
        <v>#NAME?</v>
      </c>
      <c r="C1246" s="63"/>
      <c r="D1246" s="79">
        <v>600</v>
      </c>
      <c r="E1246" s="57"/>
    </row>
    <row r="1247" spans="1:5" ht="16" thickBot="1" x14ac:dyDescent="0.3">
      <c r="A1247" s="41">
        <v>19968</v>
      </c>
      <c r="B1247" s="28" t="e">
        <f>- středně těžkého stupně</f>
        <v>#NAME?</v>
      </c>
      <c r="C1247" s="63"/>
      <c r="D1247" s="79">
        <v>800</v>
      </c>
      <c r="E1247" s="57"/>
    </row>
    <row r="1248" spans="1:5" ht="16" thickBot="1" x14ac:dyDescent="0.3">
      <c r="A1248" s="41">
        <v>20333</v>
      </c>
      <c r="B1248" s="28" t="e">
        <f>- těžkého stupně</f>
        <v>#NAME?</v>
      </c>
      <c r="C1248" s="63"/>
      <c r="D1248" s="79">
        <v>1200</v>
      </c>
      <c r="E1248" s="57"/>
    </row>
    <row r="1249" spans="1:5" ht="16" thickBot="1" x14ac:dyDescent="0.3">
      <c r="A1249" s="41">
        <v>20699</v>
      </c>
      <c r="B1249" s="28" t="s">
        <v>1242</v>
      </c>
      <c r="C1249" s="63"/>
      <c r="D1249" s="79">
        <v>400</v>
      </c>
      <c r="E1249" s="57"/>
    </row>
    <row r="1250" spans="1:5" ht="28.5" thickBot="1" x14ac:dyDescent="0.3">
      <c r="A1250" s="41">
        <v>21064</v>
      </c>
      <c r="B1250" s="28" t="s">
        <v>1243</v>
      </c>
      <c r="C1250" s="63"/>
      <c r="D1250" s="79" t="s">
        <v>1244</v>
      </c>
      <c r="E1250" s="57"/>
    </row>
    <row r="1251" spans="1:5" ht="28.5" thickBot="1" x14ac:dyDescent="0.3">
      <c r="A1251" s="41">
        <v>21429</v>
      </c>
      <c r="B1251" s="28" t="s">
        <v>1245</v>
      </c>
      <c r="C1251" s="63"/>
      <c r="D1251" s="79" t="s">
        <v>1244</v>
      </c>
      <c r="E1251" s="57"/>
    </row>
    <row r="1252" spans="1:5" ht="28.5" thickBot="1" x14ac:dyDescent="0.3">
      <c r="A1252" s="41">
        <v>21794</v>
      </c>
      <c r="B1252" s="28" t="s">
        <v>1246</v>
      </c>
      <c r="C1252" s="63"/>
      <c r="D1252" s="79" t="s">
        <v>1148</v>
      </c>
      <c r="E1252" s="57"/>
    </row>
    <row r="1253" spans="1:5" ht="28.5" thickBot="1" x14ac:dyDescent="0.3">
      <c r="A1253" s="41">
        <v>22160</v>
      </c>
      <c r="B1253" s="28" t="s">
        <v>1247</v>
      </c>
      <c r="C1253" s="63"/>
      <c r="D1253" s="79" t="s">
        <v>1201</v>
      </c>
      <c r="E1253" s="57"/>
    </row>
    <row r="1254" spans="1:5" ht="41.5" customHeight="1" thickBot="1" x14ac:dyDescent="0.3">
      <c r="A1254" s="23" t="s">
        <v>395</v>
      </c>
      <c r="B1254" s="65" t="s">
        <v>1248</v>
      </c>
      <c r="C1254" s="78"/>
      <c r="D1254" s="66"/>
      <c r="E1254" s="57"/>
    </row>
    <row r="1255" spans="1:5" ht="16" thickBot="1" x14ac:dyDescent="0.3">
      <c r="A1255" s="23">
        <v>45667</v>
      </c>
      <c r="B1255" s="81" t="s">
        <v>1249</v>
      </c>
      <c r="C1255" s="63"/>
      <c r="D1255" s="79"/>
      <c r="E1255" s="57"/>
    </row>
    <row r="1256" spans="1:5" ht="16" thickBot="1" x14ac:dyDescent="0.3">
      <c r="A1256" s="23"/>
      <c r="B1256" s="28" t="s">
        <v>1250</v>
      </c>
      <c r="C1256" s="63"/>
      <c r="D1256" s="79"/>
      <c r="E1256" s="57"/>
    </row>
    <row r="1257" spans="1:5" ht="31.5" thickBot="1" x14ac:dyDescent="0.3">
      <c r="A1257" s="23">
        <v>45698</v>
      </c>
      <c r="B1257" s="28" t="s">
        <v>1251</v>
      </c>
      <c r="C1257" s="63"/>
      <c r="D1257" s="79" t="s">
        <v>1250</v>
      </c>
      <c r="E1257" s="57"/>
    </row>
    <row r="1258" spans="1:5" ht="28.5" thickBot="1" x14ac:dyDescent="0.3">
      <c r="A1258" s="23">
        <v>45726</v>
      </c>
      <c r="B1258" s="28" t="s">
        <v>1252</v>
      </c>
      <c r="C1258" s="63"/>
      <c r="D1258" s="79" t="s">
        <v>1250</v>
      </c>
      <c r="E1258" s="57"/>
    </row>
    <row r="1259" spans="1:5" ht="69" customHeight="1" thickBot="1" x14ac:dyDescent="0.3">
      <c r="A1259" s="23">
        <v>45757</v>
      </c>
      <c r="B1259" s="65" t="s">
        <v>1253</v>
      </c>
      <c r="C1259" s="78"/>
      <c r="D1259" s="66">
        <v>1800</v>
      </c>
      <c r="E1259" s="57"/>
    </row>
    <row r="1260" spans="1:5" ht="55.15" customHeight="1" thickBot="1" x14ac:dyDescent="0.3">
      <c r="A1260" s="44" t="s">
        <v>441</v>
      </c>
      <c r="B1260" s="61" t="s">
        <v>1254</v>
      </c>
      <c r="C1260" s="80"/>
      <c r="D1260" s="62"/>
      <c r="E1260" s="57"/>
    </row>
    <row r="1261" spans="1:5" ht="31.5" thickBot="1" x14ac:dyDescent="0.3">
      <c r="A1261" s="23"/>
      <c r="B1261" s="28" t="s">
        <v>1255</v>
      </c>
      <c r="C1261" s="63"/>
      <c r="D1261" s="79"/>
      <c r="E1261" s="57"/>
    </row>
    <row r="1262" spans="1:5" ht="16" thickBot="1" x14ac:dyDescent="0.3">
      <c r="A1262" s="23">
        <v>45668</v>
      </c>
      <c r="B1262" s="28" t="e">
        <f>- lehkého stupně</f>
        <v>#NAME?</v>
      </c>
      <c r="C1262" s="63"/>
      <c r="D1262" s="79">
        <v>1200</v>
      </c>
      <c r="E1262" s="57"/>
    </row>
    <row r="1263" spans="1:5" ht="16" thickBot="1" x14ac:dyDescent="0.3">
      <c r="A1263" s="23">
        <v>45699</v>
      </c>
      <c r="B1263" s="28" t="e">
        <f>- středně těžkého stupně</f>
        <v>#NAME?</v>
      </c>
      <c r="C1263" s="63"/>
      <c r="D1263" s="79">
        <v>2400</v>
      </c>
      <c r="E1263" s="57"/>
    </row>
    <row r="1264" spans="1:5" ht="16" thickBot="1" x14ac:dyDescent="0.3">
      <c r="A1264" s="23">
        <v>45727</v>
      </c>
      <c r="B1264" s="28" t="e">
        <f>- těžkého stupně</f>
        <v>#NAME?</v>
      </c>
      <c r="C1264" s="63"/>
      <c r="D1264" s="79">
        <v>4000</v>
      </c>
      <c r="E1264" s="57"/>
    </row>
    <row r="1265" spans="1:12" ht="55.15" customHeight="1" thickBot="1" x14ac:dyDescent="0.3">
      <c r="A1265" s="48">
        <v>45758</v>
      </c>
      <c r="B1265" s="61" t="s">
        <v>1256</v>
      </c>
      <c r="C1265" s="80"/>
      <c r="D1265" s="62">
        <v>400</v>
      </c>
      <c r="E1265" s="57"/>
    </row>
    <row r="1266" spans="1:12" ht="31.5" thickBot="1" x14ac:dyDescent="0.3">
      <c r="A1266" s="23"/>
      <c r="B1266" s="28" t="s">
        <v>1257</v>
      </c>
      <c r="C1266" s="63"/>
      <c r="D1266" s="79"/>
      <c r="E1266" s="57"/>
    </row>
    <row r="1267" spans="1:12" ht="16" thickBot="1" x14ac:dyDescent="0.3">
      <c r="A1267" s="23">
        <v>45788</v>
      </c>
      <c r="B1267" s="28" t="e">
        <f>- lehkého stupně</f>
        <v>#NAME?</v>
      </c>
      <c r="C1267" s="63"/>
      <c r="D1267" s="79">
        <v>1200</v>
      </c>
      <c r="E1267" s="57"/>
    </row>
    <row r="1268" spans="1:12" ht="16" thickBot="1" x14ac:dyDescent="0.3">
      <c r="A1268" s="23">
        <v>45819</v>
      </c>
      <c r="B1268" s="28" t="e">
        <f>- středně těžkého stupně</f>
        <v>#NAME?</v>
      </c>
      <c r="C1268" s="63"/>
      <c r="D1268" s="79">
        <v>2400</v>
      </c>
      <c r="E1268" s="57"/>
    </row>
    <row r="1269" spans="1:12" ht="27.65" customHeight="1" thickBot="1" x14ac:dyDescent="0.3">
      <c r="A1269" s="41">
        <v>45849</v>
      </c>
      <c r="B1269" s="65" t="e">
        <f>- těžkého stupně</f>
        <v>#NAME?</v>
      </c>
      <c r="C1269" s="78"/>
      <c r="D1269" s="66">
        <v>4000</v>
      </c>
      <c r="E1269" s="57"/>
    </row>
    <row r="1270" spans="1:12" ht="96.65" customHeight="1" thickBot="1" x14ac:dyDescent="0.3">
      <c r="A1270" s="23" t="s">
        <v>495</v>
      </c>
      <c r="B1270" s="28" t="s">
        <v>1258</v>
      </c>
      <c r="C1270" s="82"/>
      <c r="D1270" s="62"/>
      <c r="E1270" s="57"/>
    </row>
    <row r="1271" spans="1:12" ht="164" thickBot="1" x14ac:dyDescent="0.4">
      <c r="A1271" s="83">
        <v>45669</v>
      </c>
      <c r="B1271" s="56" t="s">
        <v>1259</v>
      </c>
      <c r="C1271" s="57" t="s">
        <v>1260</v>
      </c>
      <c r="D1271" s="57"/>
      <c r="E1271" s="57"/>
    </row>
    <row r="1272" spans="1:12" ht="16" thickBot="1" x14ac:dyDescent="0.3">
      <c r="A1272" s="84" t="s">
        <v>1261</v>
      </c>
      <c r="B1272" s="85"/>
      <c r="C1272" s="86"/>
      <c r="D1272" s="86"/>
      <c r="E1272" s="87"/>
      <c r="F1272" s="88"/>
      <c r="G1272" s="88"/>
      <c r="H1272" s="88"/>
      <c r="I1272" s="88"/>
      <c r="J1272" s="88"/>
      <c r="K1272" s="88"/>
      <c r="L1272" s="22"/>
    </row>
    <row r="1273" spans="1:12" ht="16" thickBot="1" x14ac:dyDescent="0.3">
      <c r="A1273" s="23" t="s">
        <v>1262</v>
      </c>
      <c r="B1273" s="89">
        <v>45814</v>
      </c>
      <c r="C1273" s="90">
        <v>45906</v>
      </c>
      <c r="D1273" s="90">
        <v>45997</v>
      </c>
      <c r="E1273" s="91">
        <v>43252</v>
      </c>
      <c r="F1273" s="92">
        <v>45444</v>
      </c>
      <c r="G1273" s="92">
        <v>11110</v>
      </c>
      <c r="H1273" s="92">
        <v>13302</v>
      </c>
      <c r="I1273" s="92">
        <v>22068</v>
      </c>
      <c r="J1273" s="92">
        <v>21976</v>
      </c>
      <c r="K1273" s="92">
        <v>21916</v>
      </c>
      <c r="L1273" s="93">
        <v>0</v>
      </c>
    </row>
    <row r="1274" spans="1:12" ht="16" thickBot="1" x14ac:dyDescent="0.3">
      <c r="A1274" s="23">
        <v>45814</v>
      </c>
      <c r="B1274" s="94">
        <v>0</v>
      </c>
      <c r="C1274" s="95">
        <v>120</v>
      </c>
      <c r="D1274" s="95">
        <v>240</v>
      </c>
      <c r="E1274" s="95">
        <v>440</v>
      </c>
      <c r="F1274" s="93">
        <v>660</v>
      </c>
      <c r="G1274" s="93">
        <v>880</v>
      </c>
      <c r="H1274" s="93">
        <v>1100</v>
      </c>
      <c r="I1274" s="93">
        <v>1300</v>
      </c>
      <c r="J1274" s="93">
        <v>1500</v>
      </c>
      <c r="K1274" s="93">
        <v>1700</v>
      </c>
      <c r="L1274" s="93">
        <v>2000</v>
      </c>
    </row>
    <row r="1275" spans="1:12" ht="16" thickBot="1" x14ac:dyDescent="0.3">
      <c r="A1275" s="23">
        <v>45906</v>
      </c>
      <c r="B1275" s="94">
        <v>120</v>
      </c>
      <c r="C1275" s="95">
        <v>240</v>
      </c>
      <c r="D1275" s="95">
        <v>440</v>
      </c>
      <c r="E1275" s="95">
        <v>660</v>
      </c>
      <c r="F1275" s="93">
        <v>880</v>
      </c>
      <c r="G1275" s="93">
        <v>1100</v>
      </c>
      <c r="H1275" s="93">
        <v>1300</v>
      </c>
      <c r="I1275" s="93">
        <v>1500</v>
      </c>
      <c r="J1275" s="93">
        <v>1700</v>
      </c>
      <c r="K1275" s="93">
        <v>1960</v>
      </c>
      <c r="L1275" s="93">
        <v>2200</v>
      </c>
    </row>
    <row r="1276" spans="1:12" ht="16" thickBot="1" x14ac:dyDescent="0.3">
      <c r="A1276" s="41">
        <v>45997</v>
      </c>
      <c r="B1276" s="94">
        <v>240</v>
      </c>
      <c r="C1276" s="95">
        <v>440</v>
      </c>
      <c r="D1276" s="95">
        <v>660</v>
      </c>
      <c r="E1276" s="95">
        <v>880</v>
      </c>
      <c r="F1276" s="93">
        <v>1100</v>
      </c>
      <c r="G1276" s="93">
        <v>1300</v>
      </c>
      <c r="H1276" s="93">
        <v>1500</v>
      </c>
      <c r="I1276" s="93">
        <v>1700</v>
      </c>
      <c r="J1276" s="93">
        <v>1960</v>
      </c>
      <c r="K1276" s="93">
        <v>2200</v>
      </c>
      <c r="L1276" s="93">
        <v>2600</v>
      </c>
    </row>
    <row r="1277" spans="1:12" ht="16" thickBot="1" x14ac:dyDescent="0.3">
      <c r="A1277" s="41">
        <v>43252</v>
      </c>
      <c r="B1277" s="94">
        <v>440</v>
      </c>
      <c r="C1277" s="95">
        <v>660</v>
      </c>
      <c r="D1277" s="95">
        <v>880</v>
      </c>
      <c r="E1277" s="95">
        <v>1100</v>
      </c>
      <c r="F1277" s="93">
        <v>1300</v>
      </c>
      <c r="G1277" s="93">
        <v>1500</v>
      </c>
      <c r="H1277" s="93">
        <v>1700</v>
      </c>
      <c r="I1277" s="93">
        <v>1960</v>
      </c>
      <c r="J1277" s="93">
        <v>2200</v>
      </c>
      <c r="K1277" s="93">
        <v>2600</v>
      </c>
      <c r="L1277" s="93">
        <v>3100</v>
      </c>
    </row>
    <row r="1278" spans="1:12" ht="16" thickBot="1" x14ac:dyDescent="0.3">
      <c r="A1278" s="41">
        <v>45444</v>
      </c>
      <c r="B1278" s="94">
        <v>660</v>
      </c>
      <c r="C1278" s="95">
        <v>880</v>
      </c>
      <c r="D1278" s="95">
        <v>1100</v>
      </c>
      <c r="E1278" s="95">
        <v>1300</v>
      </c>
      <c r="F1278" s="93">
        <v>1500</v>
      </c>
      <c r="G1278" s="93">
        <v>1700</v>
      </c>
      <c r="H1278" s="93">
        <v>1960</v>
      </c>
      <c r="I1278" s="93">
        <v>2200</v>
      </c>
      <c r="J1278" s="93">
        <v>2600</v>
      </c>
      <c r="K1278" s="93">
        <v>3100</v>
      </c>
      <c r="L1278" s="93">
        <v>3600</v>
      </c>
    </row>
    <row r="1279" spans="1:12" ht="16" thickBot="1" x14ac:dyDescent="0.3">
      <c r="A1279" s="41">
        <v>11110</v>
      </c>
      <c r="B1279" s="94">
        <v>880</v>
      </c>
      <c r="C1279" s="95">
        <v>1100</v>
      </c>
      <c r="D1279" s="95">
        <v>1300</v>
      </c>
      <c r="E1279" s="95">
        <v>1500</v>
      </c>
      <c r="F1279" s="93">
        <v>1700</v>
      </c>
      <c r="G1279" s="93">
        <v>1960</v>
      </c>
      <c r="H1279" s="93">
        <v>2200</v>
      </c>
      <c r="I1279" s="93">
        <v>2600</v>
      </c>
      <c r="J1279" s="93">
        <v>3100</v>
      </c>
      <c r="K1279" s="93">
        <v>3600</v>
      </c>
      <c r="L1279" s="93">
        <v>4100</v>
      </c>
    </row>
    <row r="1280" spans="1:12" ht="16" thickBot="1" x14ac:dyDescent="0.3">
      <c r="A1280" s="41">
        <v>13302</v>
      </c>
      <c r="B1280" s="94">
        <v>1100</v>
      </c>
      <c r="C1280" s="95">
        <v>1300</v>
      </c>
      <c r="D1280" s="95">
        <v>1500</v>
      </c>
      <c r="E1280" s="95">
        <v>1700</v>
      </c>
      <c r="F1280" s="93">
        <v>1960</v>
      </c>
      <c r="G1280" s="93">
        <v>2200</v>
      </c>
      <c r="H1280" s="93">
        <v>2600</v>
      </c>
      <c r="I1280" s="93">
        <v>3100</v>
      </c>
      <c r="J1280" s="93">
        <v>3600</v>
      </c>
      <c r="K1280" s="93">
        <v>4100</v>
      </c>
      <c r="L1280" s="93">
        <v>4600</v>
      </c>
    </row>
    <row r="1281" spans="1:12" ht="16" thickBot="1" x14ac:dyDescent="0.3">
      <c r="A1281" s="41">
        <v>22068</v>
      </c>
      <c r="B1281" s="94">
        <v>1300</v>
      </c>
      <c r="C1281" s="95">
        <v>1500</v>
      </c>
      <c r="D1281" s="95">
        <v>1700</v>
      </c>
      <c r="E1281" s="95">
        <v>1960</v>
      </c>
      <c r="F1281" s="93">
        <v>2200</v>
      </c>
      <c r="G1281" s="93">
        <v>2600</v>
      </c>
      <c r="H1281" s="93">
        <v>3100</v>
      </c>
      <c r="I1281" s="93">
        <v>3600</v>
      </c>
      <c r="J1281" s="93">
        <v>4100</v>
      </c>
      <c r="K1281" s="93">
        <v>4600</v>
      </c>
      <c r="L1281" s="93">
        <v>5000</v>
      </c>
    </row>
    <row r="1282" spans="1:12" ht="16" thickBot="1" x14ac:dyDescent="0.3">
      <c r="A1282" s="41">
        <v>21976</v>
      </c>
      <c r="B1282" s="94">
        <v>1500</v>
      </c>
      <c r="C1282" s="95">
        <v>1700</v>
      </c>
      <c r="D1282" s="95">
        <v>1960</v>
      </c>
      <c r="E1282" s="95">
        <v>2200</v>
      </c>
      <c r="F1282" s="93">
        <v>2600</v>
      </c>
      <c r="G1282" s="93">
        <v>3100</v>
      </c>
      <c r="H1282" s="93">
        <v>3600</v>
      </c>
      <c r="I1282" s="93">
        <v>4100</v>
      </c>
      <c r="J1282" s="93">
        <v>4600</v>
      </c>
      <c r="K1282" s="93">
        <v>5000</v>
      </c>
      <c r="L1282" s="93">
        <v>5400</v>
      </c>
    </row>
    <row r="1283" spans="1:12" ht="16" thickBot="1" x14ac:dyDescent="0.3">
      <c r="A1283" s="41">
        <v>21916</v>
      </c>
      <c r="B1283" s="94">
        <v>1700</v>
      </c>
      <c r="C1283" s="95">
        <v>1960</v>
      </c>
      <c r="D1283" s="95">
        <v>2200</v>
      </c>
      <c r="E1283" s="95">
        <v>2600</v>
      </c>
      <c r="F1283" s="93">
        <v>3100</v>
      </c>
      <c r="G1283" s="93">
        <v>3600</v>
      </c>
      <c r="H1283" s="93">
        <v>4100</v>
      </c>
      <c r="I1283" s="93">
        <v>4600</v>
      </c>
      <c r="J1283" s="93">
        <v>5000</v>
      </c>
      <c r="K1283" s="93">
        <v>5400</v>
      </c>
      <c r="L1283" s="93">
        <v>5700</v>
      </c>
    </row>
    <row r="1284" spans="1:12" ht="16" thickBot="1" x14ac:dyDescent="0.4">
      <c r="A1284" s="83">
        <v>0</v>
      </c>
      <c r="B1284" s="56">
        <v>2000</v>
      </c>
      <c r="C1284" s="57">
        <v>2200</v>
      </c>
      <c r="D1284" s="57">
        <v>2600</v>
      </c>
      <c r="E1284" s="57">
        <v>3100</v>
      </c>
      <c r="F1284" s="2">
        <v>3600</v>
      </c>
      <c r="G1284" s="2">
        <v>4100</v>
      </c>
      <c r="H1284" s="2">
        <v>4600</v>
      </c>
      <c r="I1284" s="2">
        <v>5000</v>
      </c>
      <c r="J1284" s="2">
        <v>5400</v>
      </c>
      <c r="K1284" s="2">
        <v>5700</v>
      </c>
      <c r="L1284" s="2">
        <v>6000</v>
      </c>
    </row>
    <row r="1285" spans="1:12" ht="16" thickBot="1" x14ac:dyDescent="0.3">
      <c r="A1285" s="96" t="s">
        <v>1263</v>
      </c>
      <c r="B1285" s="97"/>
      <c r="C1285" s="98"/>
      <c r="D1285" s="60"/>
      <c r="E1285" s="57"/>
    </row>
    <row r="1286" spans="1:12" ht="16" thickBot="1" x14ac:dyDescent="0.3">
      <c r="A1286" s="99" t="s">
        <v>100</v>
      </c>
      <c r="B1286" s="100" t="s">
        <v>1264</v>
      </c>
      <c r="C1286" s="101"/>
      <c r="D1286" s="101"/>
      <c r="E1286" s="57"/>
    </row>
    <row r="1287" spans="1:12" ht="42.5" thickBot="1" x14ac:dyDescent="0.3">
      <c r="A1287" s="102" t="s">
        <v>1265</v>
      </c>
      <c r="B1287" s="94" t="s">
        <v>1266</v>
      </c>
      <c r="C1287" s="95" t="s">
        <v>1267</v>
      </c>
      <c r="D1287" s="95" t="s">
        <v>1268</v>
      </c>
      <c r="E1287" s="57"/>
    </row>
    <row r="1288" spans="1:12" ht="16" thickBot="1" x14ac:dyDescent="0.3">
      <c r="A1288" s="102">
        <v>60</v>
      </c>
      <c r="B1288" s="94">
        <v>300</v>
      </c>
      <c r="C1288" s="95">
        <v>600</v>
      </c>
      <c r="D1288" s="95">
        <v>2000</v>
      </c>
      <c r="E1288" s="57"/>
    </row>
    <row r="1289" spans="1:12" ht="16" thickBot="1" x14ac:dyDescent="0.3">
      <c r="A1289" s="102">
        <v>50</v>
      </c>
      <c r="B1289" s="94">
        <v>500</v>
      </c>
      <c r="C1289" s="95">
        <v>1400</v>
      </c>
      <c r="D1289" s="95">
        <v>2500</v>
      </c>
      <c r="E1289" s="57"/>
    </row>
    <row r="1290" spans="1:12" ht="16" thickBot="1" x14ac:dyDescent="0.3">
      <c r="A1290" s="102">
        <v>40</v>
      </c>
      <c r="B1290" s="94">
        <v>700</v>
      </c>
      <c r="C1290" s="95">
        <v>2200</v>
      </c>
      <c r="D1290" s="95">
        <v>2900</v>
      </c>
      <c r="E1290" s="57"/>
    </row>
    <row r="1291" spans="1:12" ht="16" thickBot="1" x14ac:dyDescent="0.3">
      <c r="A1291" s="102">
        <v>30</v>
      </c>
      <c r="B1291" s="94">
        <v>1000</v>
      </c>
      <c r="C1291" s="95">
        <v>3000</v>
      </c>
      <c r="D1291" s="95">
        <v>3700</v>
      </c>
      <c r="E1291" s="57"/>
    </row>
    <row r="1292" spans="1:12" ht="16" thickBot="1" x14ac:dyDescent="0.3">
      <c r="A1292" s="102">
        <v>20</v>
      </c>
      <c r="B1292" s="94">
        <v>1400</v>
      </c>
      <c r="C1292" s="95">
        <v>4000</v>
      </c>
      <c r="D1292" s="95">
        <v>4500</v>
      </c>
      <c r="E1292" s="57"/>
    </row>
    <row r="1293" spans="1:12" ht="16" thickBot="1" x14ac:dyDescent="0.3">
      <c r="A1293" s="102">
        <v>10</v>
      </c>
      <c r="B1293" s="94">
        <v>1700</v>
      </c>
      <c r="C1293" s="95">
        <v>5000</v>
      </c>
      <c r="D1293" s="95">
        <v>5300</v>
      </c>
      <c r="E1293" s="57"/>
    </row>
    <row r="1294" spans="1:12" ht="15.5" x14ac:dyDescent="0.35">
      <c r="A1294" s="7">
        <v>5</v>
      </c>
      <c r="B1294" s="56">
        <v>1900</v>
      </c>
      <c r="C1294" s="57">
        <v>5600</v>
      </c>
      <c r="D1294" s="57">
        <v>5600</v>
      </c>
      <c r="E1294" s="57"/>
    </row>
    <row r="1295" spans="1:12" ht="16" thickBot="1" x14ac:dyDescent="0.4">
      <c r="A1295" s="83" t="s">
        <v>1269</v>
      </c>
      <c r="B1295" s="56"/>
      <c r="C1295" s="57"/>
      <c r="D1295" s="57"/>
      <c r="E1295" s="57"/>
    </row>
    <row r="1296" spans="1:12" ht="16" thickBot="1" x14ac:dyDescent="0.3">
      <c r="A1296" s="103" t="s">
        <v>1270</v>
      </c>
      <c r="B1296" s="104"/>
      <c r="C1296" s="57"/>
      <c r="D1296" s="57"/>
      <c r="E1296" s="57"/>
    </row>
    <row r="1297" spans="1:5" ht="16" thickBot="1" x14ac:dyDescent="0.3">
      <c r="A1297" s="41" t="s">
        <v>1271</v>
      </c>
      <c r="B1297" s="94" t="s">
        <v>1272</v>
      </c>
      <c r="C1297" s="57"/>
      <c r="D1297" s="57"/>
      <c r="E1297" s="57"/>
    </row>
    <row r="1298" spans="1:5" ht="16" thickBot="1" x14ac:dyDescent="0.3">
      <c r="A1298" s="41" t="s">
        <v>1273</v>
      </c>
      <c r="B1298" s="94">
        <v>2000</v>
      </c>
      <c r="C1298" s="57"/>
      <c r="D1298" s="57"/>
      <c r="E1298" s="57"/>
    </row>
    <row r="1299" spans="1:5" ht="16" thickBot="1" x14ac:dyDescent="0.3">
      <c r="A1299" s="41" t="s">
        <v>1274</v>
      </c>
      <c r="B1299" s="94">
        <v>2400</v>
      </c>
      <c r="C1299" s="57"/>
      <c r="D1299" s="57"/>
      <c r="E1299" s="57"/>
    </row>
    <row r="1300" spans="1:5" ht="16" thickBot="1" x14ac:dyDescent="0.3">
      <c r="A1300" s="41" t="s">
        <v>1275</v>
      </c>
      <c r="B1300" s="94">
        <v>600</v>
      </c>
      <c r="C1300" s="57"/>
      <c r="D1300" s="57"/>
      <c r="E1300" s="57"/>
    </row>
    <row r="1301" spans="1:5" ht="16" thickBot="1" x14ac:dyDescent="0.3">
      <c r="A1301" s="49" t="s">
        <v>1276</v>
      </c>
      <c r="B1301" s="94">
        <v>3000</v>
      </c>
      <c r="C1301" s="57"/>
      <c r="D1301" s="57"/>
      <c r="E1301" s="57"/>
    </row>
    <row r="1302" spans="1:5" ht="16" thickBot="1" x14ac:dyDescent="0.3">
      <c r="A1302" s="41" t="s">
        <v>1277</v>
      </c>
      <c r="B1302" s="94">
        <v>600</v>
      </c>
      <c r="C1302" s="57"/>
      <c r="D1302" s="57"/>
      <c r="E1302" s="57"/>
    </row>
    <row r="1303" spans="1:5" ht="16" thickBot="1" x14ac:dyDescent="0.3">
      <c r="A1303" s="41" t="s">
        <v>1278</v>
      </c>
      <c r="B1303" s="94">
        <v>2000</v>
      </c>
      <c r="C1303" s="57"/>
      <c r="D1303" s="57"/>
      <c r="E1303" s="57"/>
    </row>
    <row r="1304" spans="1:5" ht="16" thickBot="1" x14ac:dyDescent="0.3">
      <c r="A1304" s="41" t="s">
        <v>1279</v>
      </c>
      <c r="B1304" s="94">
        <v>300</v>
      </c>
      <c r="C1304" s="57"/>
      <c r="D1304" s="57"/>
      <c r="E1304" s="57"/>
    </row>
    <row r="1305" spans="1:5" ht="16" thickBot="1" x14ac:dyDescent="0.3">
      <c r="A1305" s="41" t="s">
        <v>1280</v>
      </c>
      <c r="B1305" s="94">
        <v>1200</v>
      </c>
      <c r="C1305" s="57"/>
      <c r="D1305" s="57"/>
      <c r="E1305" s="57"/>
    </row>
    <row r="1306" spans="1:5" ht="16" thickBot="1" x14ac:dyDescent="0.3">
      <c r="A1306" s="41" t="s">
        <v>1281</v>
      </c>
      <c r="B1306" s="94">
        <v>300</v>
      </c>
      <c r="C1306" s="57"/>
      <c r="D1306" s="57"/>
      <c r="E1306" s="57"/>
    </row>
    <row r="1307" spans="1:5" ht="16" thickBot="1" x14ac:dyDescent="0.3">
      <c r="A1307" s="41" t="s">
        <v>1282</v>
      </c>
      <c r="B1307" s="94">
        <v>800</v>
      </c>
      <c r="C1307" s="57"/>
      <c r="D1307" s="57"/>
      <c r="E1307" s="57"/>
    </row>
    <row r="1308" spans="1:5" ht="16" thickBot="1" x14ac:dyDescent="0.3">
      <c r="A1308" s="41" t="s">
        <v>1283</v>
      </c>
      <c r="B1308" s="94">
        <v>200</v>
      </c>
      <c r="C1308" s="57"/>
      <c r="D1308" s="57"/>
      <c r="E1308" s="57"/>
    </row>
    <row r="1309" spans="1:5" ht="16" thickBot="1" x14ac:dyDescent="0.3">
      <c r="A1309" s="41" t="s">
        <v>1284</v>
      </c>
      <c r="B1309" s="94">
        <v>300</v>
      </c>
      <c r="C1309" s="57"/>
      <c r="D1309" s="57"/>
      <c r="E1309" s="57"/>
    </row>
    <row r="1310" spans="1:5" ht="16" thickBot="1" x14ac:dyDescent="0.3">
      <c r="A1310" s="49" t="s">
        <v>1285</v>
      </c>
      <c r="B1310" s="94">
        <v>300</v>
      </c>
      <c r="C1310" s="57"/>
      <c r="D1310" s="57"/>
      <c r="E1310" s="57"/>
    </row>
    <row r="1311" spans="1:5" ht="15.5" x14ac:dyDescent="0.35">
      <c r="A1311" s="83" t="s">
        <v>1286</v>
      </c>
      <c r="B1311" s="56">
        <v>600</v>
      </c>
      <c r="C1311" s="57"/>
      <c r="D1311" s="57"/>
      <c r="E1311" s="57"/>
    </row>
    <row r="1312" spans="1:5" ht="16" thickBot="1" x14ac:dyDescent="0.4">
      <c r="A1312" s="105" t="s">
        <v>1287</v>
      </c>
      <c r="B1312" s="56"/>
      <c r="C1312" s="57"/>
      <c r="D1312" s="57"/>
      <c r="E1312" s="57"/>
    </row>
    <row r="1313" spans="1:5" ht="31.5" thickBot="1" x14ac:dyDescent="0.3">
      <c r="A1313" s="84" t="s">
        <v>1288</v>
      </c>
      <c r="B1313" s="59"/>
      <c r="C1313" s="106"/>
      <c r="D1313" s="57"/>
      <c r="E1313" s="57"/>
    </row>
    <row r="1314" spans="1:5" ht="26.5" thickBot="1" x14ac:dyDescent="0.3">
      <c r="A1314" s="41" t="s">
        <v>86</v>
      </c>
      <c r="B1314" s="24" t="s">
        <v>87</v>
      </c>
      <c r="C1314" s="63" t="s">
        <v>88</v>
      </c>
      <c r="D1314" s="57"/>
      <c r="E1314" s="57"/>
    </row>
    <row r="1315" spans="1:5" ht="110.5" customHeight="1" x14ac:dyDescent="0.25">
      <c r="A1315" s="107" t="s">
        <v>89</v>
      </c>
      <c r="B1315" s="108" t="s">
        <v>1289</v>
      </c>
      <c r="C1315" s="109"/>
      <c r="D1315" s="57"/>
      <c r="E1315" s="57"/>
    </row>
    <row r="1316" spans="1:5" ht="110.5" customHeight="1" thickBot="1" x14ac:dyDescent="0.3">
      <c r="A1316" s="48"/>
      <c r="B1316" s="110" t="s">
        <v>1290</v>
      </c>
      <c r="C1316" s="79"/>
      <c r="D1316" s="57"/>
      <c r="E1316" s="57"/>
    </row>
    <row r="1317" spans="1:5" ht="31.5" thickBot="1" x14ac:dyDescent="0.3">
      <c r="A1317" s="48" t="s">
        <v>1291</v>
      </c>
      <c r="B1317" s="65"/>
      <c r="C1317" s="66"/>
      <c r="D1317" s="57"/>
      <c r="E1317" s="57"/>
    </row>
    <row r="1318" spans="1:5" ht="69" customHeight="1" x14ac:dyDescent="0.25">
      <c r="A1318" s="107"/>
      <c r="B1318" s="111" t="s">
        <v>1292</v>
      </c>
      <c r="C1318" s="112"/>
      <c r="D1318" s="57"/>
      <c r="E1318" s="57"/>
    </row>
    <row r="1319" spans="1:5" ht="151.9" customHeight="1" thickBot="1" x14ac:dyDescent="0.3">
      <c r="A1319" s="53"/>
      <c r="B1319" s="110" t="s">
        <v>1293</v>
      </c>
      <c r="C1319" s="79"/>
      <c r="D1319" s="57"/>
      <c r="E1319" s="57"/>
    </row>
    <row r="1320" spans="1:5" ht="31.5" thickBot="1" x14ac:dyDescent="0.3">
      <c r="A1320" s="23" t="s">
        <v>1294</v>
      </c>
      <c r="B1320" s="28"/>
      <c r="C1320" s="40"/>
      <c r="D1320" s="57"/>
      <c r="E1320" s="57"/>
    </row>
    <row r="1321" spans="1:5" ht="16" thickBot="1" x14ac:dyDescent="0.3">
      <c r="A1321" s="23">
        <v>45658</v>
      </c>
      <c r="B1321" s="28" t="e">
        <f>- lehké poruchy</f>
        <v>#NAME?</v>
      </c>
      <c r="C1321" s="40">
        <v>1200</v>
      </c>
      <c r="D1321" s="57"/>
      <c r="E1321" s="57"/>
    </row>
    <row r="1322" spans="1:5" ht="16" thickBot="1" x14ac:dyDescent="0.3">
      <c r="A1322" s="23">
        <v>45689</v>
      </c>
      <c r="B1322" s="28" t="e">
        <f>- středně těžké poruchy</f>
        <v>#NAME?</v>
      </c>
      <c r="C1322" s="40">
        <v>2400</v>
      </c>
      <c r="D1322" s="57"/>
      <c r="E1322" s="57"/>
    </row>
    <row r="1323" spans="1:5" ht="16" thickBot="1" x14ac:dyDescent="0.3">
      <c r="A1323" s="23">
        <v>45717</v>
      </c>
      <c r="B1323" s="28" t="e">
        <f>- těžké poruchy</f>
        <v>#NAME?</v>
      </c>
      <c r="C1323" s="40">
        <v>4000</v>
      </c>
      <c r="D1323" s="57"/>
      <c r="E1323" s="57"/>
    </row>
    <row r="1324" spans="1:5" ht="69" customHeight="1" x14ac:dyDescent="0.25">
      <c r="A1324" s="113">
        <v>45748</v>
      </c>
      <c r="B1324" s="111" t="e">
        <f>- zvláště těžké poruchy</f>
        <v>#NAME?</v>
      </c>
      <c r="C1324" s="112">
        <v>6000</v>
      </c>
      <c r="D1324" s="57"/>
      <c r="E1324" s="57"/>
    </row>
    <row r="1325" spans="1:5" ht="96.65" customHeight="1" thickBot="1" x14ac:dyDescent="0.3">
      <c r="A1325" s="53"/>
      <c r="B1325" s="110" t="s">
        <v>1295</v>
      </c>
      <c r="C1325" s="79"/>
      <c r="D1325" s="57"/>
      <c r="E1325" s="57"/>
    </row>
    <row r="1326" spans="1:5" ht="31.5" thickBot="1" x14ac:dyDescent="0.3">
      <c r="A1326" s="23" t="s">
        <v>1296</v>
      </c>
      <c r="B1326" s="28"/>
      <c r="C1326" s="40"/>
      <c r="D1326" s="57"/>
      <c r="E1326" s="57"/>
    </row>
    <row r="1327" spans="1:5" ht="16" thickBot="1" x14ac:dyDescent="0.3">
      <c r="A1327" s="23">
        <v>45778</v>
      </c>
      <c r="B1327" s="28" t="e">
        <f>- lehké poruchy</f>
        <v>#NAME?</v>
      </c>
      <c r="C1327" s="40">
        <v>1200</v>
      </c>
      <c r="D1327" s="57"/>
      <c r="E1327" s="57"/>
    </row>
    <row r="1328" spans="1:5" ht="16" thickBot="1" x14ac:dyDescent="0.3">
      <c r="A1328" s="23">
        <v>45809</v>
      </c>
      <c r="B1328" s="28" t="e">
        <f>- středně těžké poruchy</f>
        <v>#NAME?</v>
      </c>
      <c r="C1328" s="40">
        <v>2400</v>
      </c>
      <c r="D1328" s="57"/>
      <c r="E1328" s="57"/>
    </row>
    <row r="1329" spans="1:11" ht="16" thickBot="1" x14ac:dyDescent="0.3">
      <c r="A1329" s="44">
        <v>45839</v>
      </c>
      <c r="B1329" s="65" t="e">
        <f>- těžké poruchy</f>
        <v>#NAME?</v>
      </c>
      <c r="C1329" s="66">
        <v>4000</v>
      </c>
      <c r="D1329" s="57"/>
      <c r="E1329" s="57"/>
    </row>
    <row r="1330" spans="1:11" ht="27.65" customHeight="1" thickBot="1" x14ac:dyDescent="0.3">
      <c r="A1330" s="53"/>
      <c r="B1330" s="65" t="s">
        <v>1297</v>
      </c>
      <c r="C1330" s="66"/>
      <c r="D1330" s="57"/>
      <c r="E1330" s="57"/>
    </row>
    <row r="1331" spans="1:11" ht="16" thickBot="1" x14ac:dyDescent="0.3">
      <c r="A1331" s="23"/>
      <c r="B1331" s="28" t="s">
        <v>1298</v>
      </c>
      <c r="C1331" s="40"/>
      <c r="D1331" s="57"/>
      <c r="E1331" s="57"/>
    </row>
    <row r="1332" spans="1:11" ht="16" thickBot="1" x14ac:dyDescent="0.3">
      <c r="A1332" s="23">
        <v>45870</v>
      </c>
      <c r="B1332" s="28" t="e">
        <f>- jaterní poškození s minimální poruchou funkcí</f>
        <v>#NAME?</v>
      </c>
      <c r="C1332" s="40">
        <v>800</v>
      </c>
      <c r="D1332" s="57"/>
      <c r="E1332" s="57"/>
    </row>
    <row r="1333" spans="1:11" ht="16" thickBot="1" x14ac:dyDescent="0.3">
      <c r="A1333" s="23">
        <v>45901</v>
      </c>
      <c r="B1333" s="28" t="e">
        <f>- lehké poruchy</f>
        <v>#NAME?</v>
      </c>
      <c r="C1333" s="40">
        <v>1600</v>
      </c>
      <c r="D1333" s="57"/>
      <c r="E1333" s="57"/>
    </row>
    <row r="1334" spans="1:11" ht="16" thickBot="1" x14ac:dyDescent="0.3">
      <c r="A1334" s="23">
        <v>45931</v>
      </c>
      <c r="B1334" s="28" t="e">
        <f>- středně těžké poruchy</f>
        <v>#NAME?</v>
      </c>
      <c r="C1334" s="40">
        <v>3000</v>
      </c>
      <c r="D1334" s="57"/>
      <c r="E1334" s="57"/>
    </row>
    <row r="1335" spans="1:11" ht="16" thickBot="1" x14ac:dyDescent="0.3">
      <c r="A1335" s="23">
        <v>45962</v>
      </c>
      <c r="B1335" s="28" t="e">
        <f>- těžké poruchy</f>
        <v>#NAME?</v>
      </c>
      <c r="C1335" s="40">
        <v>4000</v>
      </c>
      <c r="D1335" s="57"/>
      <c r="E1335" s="57"/>
    </row>
    <row r="1336" spans="1:11" ht="47" thickBot="1" x14ac:dyDescent="0.3">
      <c r="A1336" s="44">
        <v>45992</v>
      </c>
      <c r="B1336" s="65" t="s">
        <v>1299</v>
      </c>
      <c r="C1336" s="66">
        <v>6000</v>
      </c>
      <c r="D1336" s="57"/>
      <c r="E1336" s="57"/>
    </row>
    <row r="1337" spans="1:11" ht="16" thickBot="1" x14ac:dyDescent="0.3">
      <c r="A1337" s="41"/>
      <c r="B1337" s="28" t="s">
        <v>1300</v>
      </c>
      <c r="C1337" s="40"/>
      <c r="D1337" s="57"/>
      <c r="E1337" s="57"/>
    </row>
    <row r="1338" spans="1:11" ht="16" thickBot="1" x14ac:dyDescent="0.3">
      <c r="A1338" s="41">
        <v>41275</v>
      </c>
      <c r="B1338" s="114" t="e">
        <f>- po stabilizaci stavu</f>
        <v>#NAME?</v>
      </c>
      <c r="C1338" s="115">
        <v>4000</v>
      </c>
      <c r="D1338" s="116"/>
      <c r="E1338" s="117"/>
      <c r="F1338" s="118"/>
      <c r="G1338" s="118"/>
      <c r="H1338" s="118"/>
      <c r="I1338" s="118"/>
      <c r="J1338" s="118"/>
      <c r="K1338" s="118"/>
    </row>
    <row r="1339" spans="1:11" ht="16" thickBot="1" x14ac:dyDescent="0.3">
      <c r="A1339" s="44">
        <v>41640</v>
      </c>
      <c r="B1339" s="65" t="e">
        <f>- nevyléčitelné formy</f>
        <v>#NAME?</v>
      </c>
      <c r="C1339" s="66">
        <v>6000</v>
      </c>
      <c r="D1339" s="57"/>
      <c r="E1339" s="57"/>
    </row>
    <row r="1340" spans="1:11" ht="27.65" customHeight="1" thickBot="1" x14ac:dyDescent="0.3">
      <c r="A1340" s="44"/>
      <c r="B1340" s="65" t="s">
        <v>1301</v>
      </c>
      <c r="C1340" s="66"/>
      <c r="D1340" s="57"/>
      <c r="E1340" s="57"/>
    </row>
    <row r="1341" spans="1:11" ht="16" thickBot="1" x14ac:dyDescent="0.3">
      <c r="A1341" s="41"/>
      <c r="B1341" s="28" t="s">
        <v>1302</v>
      </c>
      <c r="C1341" s="40"/>
      <c r="D1341" s="57"/>
      <c r="E1341" s="57"/>
    </row>
    <row r="1342" spans="1:11" ht="47" thickBot="1" x14ac:dyDescent="0.3">
      <c r="A1342" s="41">
        <v>42005</v>
      </c>
      <c r="B1342" s="28" t="s">
        <v>1303</v>
      </c>
      <c r="C1342" s="40">
        <v>800</v>
      </c>
      <c r="D1342" s="57"/>
      <c r="E1342" s="57"/>
    </row>
    <row r="1343" spans="1:11" ht="16" thickBot="1" x14ac:dyDescent="0.3">
      <c r="A1343" s="41">
        <v>42370</v>
      </c>
      <c r="B1343" s="28" t="e">
        <f>- postižení ledvin s omezením funkce lehkého stupně</f>
        <v>#NAME?</v>
      </c>
      <c r="C1343" s="40">
        <v>1200</v>
      </c>
      <c r="D1343" s="57"/>
      <c r="E1343" s="57"/>
    </row>
    <row r="1344" spans="1:11" ht="16" thickBot="1" x14ac:dyDescent="0.3">
      <c r="A1344" s="41">
        <v>42736</v>
      </c>
      <c r="B1344" s="28" t="e">
        <f>- středně těžkého stupně</f>
        <v>#NAME?</v>
      </c>
      <c r="C1344" s="40">
        <v>2400</v>
      </c>
      <c r="D1344" s="57"/>
      <c r="E1344" s="57"/>
    </row>
    <row r="1345" spans="1:5" ht="16" thickBot="1" x14ac:dyDescent="0.3">
      <c r="A1345" s="41">
        <v>43101</v>
      </c>
      <c r="B1345" s="28" t="e">
        <f>- těžkého stupně</f>
        <v>#NAME?</v>
      </c>
      <c r="C1345" s="40">
        <v>4000</v>
      </c>
      <c r="D1345" s="57"/>
      <c r="E1345" s="57"/>
    </row>
    <row r="1346" spans="1:5" ht="16" thickBot="1" x14ac:dyDescent="0.3">
      <c r="A1346" s="48">
        <v>43466</v>
      </c>
      <c r="B1346" s="65" t="e">
        <f>- úplné selhání ledvin (nutnost hemodialýzy)</f>
        <v>#NAME?</v>
      </c>
      <c r="C1346" s="66">
        <v>6000</v>
      </c>
      <c r="D1346" s="57"/>
      <c r="E1346" s="57"/>
    </row>
    <row r="1347" spans="1:5" ht="16" thickBot="1" x14ac:dyDescent="0.3">
      <c r="A1347" s="41"/>
      <c r="B1347" s="28" t="s">
        <v>1304</v>
      </c>
      <c r="C1347" s="40"/>
      <c r="D1347" s="57"/>
      <c r="E1347" s="57"/>
    </row>
    <row r="1348" spans="1:5" ht="16" thickBot="1" x14ac:dyDescent="0.3">
      <c r="A1348" s="41">
        <v>43831</v>
      </c>
      <c r="B1348" s="28" t="e">
        <f>- po stabilizaci stavu</f>
        <v>#NAME?</v>
      </c>
      <c r="C1348" s="40">
        <v>4000</v>
      </c>
      <c r="D1348" s="57"/>
      <c r="E1348" s="57"/>
    </row>
    <row r="1349" spans="1:5" ht="27.65" customHeight="1" thickBot="1" x14ac:dyDescent="0.3">
      <c r="A1349" s="48">
        <v>44197</v>
      </c>
      <c r="B1349" s="65" t="e">
        <f>- nevyléčitelné formy</f>
        <v>#NAME?</v>
      </c>
      <c r="C1349" s="66">
        <v>6000</v>
      </c>
      <c r="D1349" s="57"/>
      <c r="E1349" s="57"/>
    </row>
    <row r="1350" spans="1:5" ht="16" thickBot="1" x14ac:dyDescent="0.3">
      <c r="A1350" s="41"/>
      <c r="B1350" s="28" t="s">
        <v>1305</v>
      </c>
      <c r="C1350" s="40"/>
      <c r="D1350" s="57"/>
      <c r="E1350" s="57"/>
    </row>
    <row r="1351" spans="1:5" ht="16" thickBot="1" x14ac:dyDescent="0.3">
      <c r="A1351" s="41">
        <v>44562</v>
      </c>
      <c r="B1351" s="28" t="e">
        <f>- poškození lehkého stupně</f>
        <v>#NAME?</v>
      </c>
      <c r="C1351" s="40">
        <v>1200</v>
      </c>
      <c r="D1351" s="57"/>
      <c r="E1351" s="57"/>
    </row>
    <row r="1352" spans="1:5" ht="16" thickBot="1" x14ac:dyDescent="0.3">
      <c r="A1352" s="41">
        <v>44927</v>
      </c>
      <c r="B1352" s="28" t="e">
        <f>- poškození středně těžkého stupně</f>
        <v>#NAME?</v>
      </c>
      <c r="C1352" s="40">
        <v>2400</v>
      </c>
      <c r="D1352" s="57"/>
      <c r="E1352" s="57"/>
    </row>
    <row r="1353" spans="1:5" ht="16" thickBot="1" x14ac:dyDescent="0.3">
      <c r="A1353" s="41">
        <v>45292</v>
      </c>
      <c r="B1353" s="28" t="e">
        <f>- poškození těžkého stupně</f>
        <v>#NAME?</v>
      </c>
      <c r="C1353" s="40">
        <v>4000</v>
      </c>
      <c r="D1353" s="57"/>
      <c r="E1353" s="57"/>
    </row>
    <row r="1354" spans="1:5" ht="16" thickBot="1" x14ac:dyDescent="0.3">
      <c r="A1354" s="48">
        <v>45658</v>
      </c>
      <c r="B1354" s="65" t="e">
        <f>- zvlášť těžká poškození vedoucí k srdečnímu selhávání na úrovni NYHA IV</f>
        <v>#NAME?</v>
      </c>
      <c r="C1354" s="66">
        <v>6000</v>
      </c>
      <c r="D1354" s="57"/>
      <c r="E1354" s="57"/>
    </row>
    <row r="1355" spans="1:5" ht="27.65" customHeight="1" thickBot="1" x14ac:dyDescent="0.3">
      <c r="A1355" s="53"/>
      <c r="B1355" s="65"/>
      <c r="C1355" s="66"/>
      <c r="D1355" s="57"/>
      <c r="E1355" s="57"/>
    </row>
    <row r="1356" spans="1:5" ht="16" thickBot="1" x14ac:dyDescent="0.3">
      <c r="A1356" s="53"/>
      <c r="B1356" s="65" t="s">
        <v>1306</v>
      </c>
      <c r="C1356" s="66"/>
      <c r="D1356" s="57"/>
      <c r="E1356" s="57"/>
    </row>
    <row r="1357" spans="1:5" ht="16" thickBot="1" x14ac:dyDescent="0.3">
      <c r="A1357" s="41"/>
      <c r="B1357" s="28" t="s">
        <v>1302</v>
      </c>
      <c r="C1357" s="40"/>
      <c r="D1357" s="57"/>
      <c r="E1357" s="57"/>
    </row>
    <row r="1358" spans="1:5" ht="16" thickBot="1" x14ac:dyDescent="0.3">
      <c r="A1358" s="41"/>
      <c r="B1358" s="28" t="s">
        <v>1307</v>
      </c>
      <c r="C1358" s="40"/>
      <c r="D1358" s="57"/>
      <c r="E1358" s="57"/>
    </row>
    <row r="1359" spans="1:5" ht="16" thickBot="1" x14ac:dyDescent="0.3">
      <c r="A1359" s="41">
        <v>46023</v>
      </c>
      <c r="B1359" s="28" t="e">
        <f>- mírné s trombocytopenií a s mírnými klinickými projevy</f>
        <v>#NAME?</v>
      </c>
      <c r="C1359" s="40">
        <v>1200</v>
      </c>
      <c r="D1359" s="57"/>
      <c r="E1359" s="57"/>
    </row>
    <row r="1360" spans="1:5" ht="16" thickBot="1" x14ac:dyDescent="0.3">
      <c r="A1360" s="41">
        <v>46388</v>
      </c>
      <c r="B1360" s="28" t="e">
        <f>- středně těžká s trombocytopenií a se středně těžce vyjádřenými klinickými projevy</f>
        <v>#NAME?</v>
      </c>
      <c r="C1360" s="40">
        <v>2400</v>
      </c>
      <c r="D1360" s="57"/>
      <c r="E1360" s="57"/>
    </row>
    <row r="1361" spans="1:5" ht="27.65" customHeight="1" thickBot="1" x14ac:dyDescent="0.3">
      <c r="A1361" s="48">
        <v>46753</v>
      </c>
      <c r="B1361" s="65" t="s">
        <v>1308</v>
      </c>
      <c r="C1361" s="66">
        <v>4000</v>
      </c>
      <c r="D1361" s="57"/>
      <c r="E1361" s="57"/>
    </row>
    <row r="1362" spans="1:5" ht="16" thickBot="1" x14ac:dyDescent="0.3">
      <c r="A1362" s="41">
        <v>47119</v>
      </c>
      <c r="B1362" s="28" t="e">
        <f>- tento stav s přechodem do leukemie</f>
        <v>#NAME?</v>
      </c>
      <c r="C1362" s="40">
        <v>6000</v>
      </c>
      <c r="D1362" s="57"/>
      <c r="E1362" s="57"/>
    </row>
    <row r="1363" spans="1:5" ht="16" thickBot="1" x14ac:dyDescent="0.3">
      <c r="A1363" s="41"/>
      <c r="B1363" s="28" t="s">
        <v>1309</v>
      </c>
      <c r="C1363" s="40"/>
      <c r="D1363" s="57"/>
      <c r="E1363" s="57"/>
    </row>
    <row r="1364" spans="1:5" ht="16" thickBot="1" x14ac:dyDescent="0.3">
      <c r="A1364" s="41">
        <v>10959</v>
      </c>
      <c r="B1364" s="28" t="e">
        <f>- lehká anemie s mírnými klinickými projevy (předčasná unavitelnost)</f>
        <v>#NAME?</v>
      </c>
      <c r="C1364" s="40">
        <v>1200</v>
      </c>
      <c r="D1364" s="57"/>
      <c r="E1364" s="57"/>
    </row>
    <row r="1365" spans="1:5" ht="16" thickBot="1" x14ac:dyDescent="0.3">
      <c r="A1365" s="41">
        <v>11324</v>
      </c>
      <c r="B1365" s="28" t="e">
        <f>- středně těžká anemie</f>
        <v>#NAME?</v>
      </c>
      <c r="C1365" s="40">
        <v>2400</v>
      </c>
      <c r="D1365" s="57"/>
      <c r="E1365" s="57"/>
    </row>
    <row r="1366" spans="1:5" ht="47" thickBot="1" x14ac:dyDescent="0.3">
      <c r="A1366" s="48">
        <v>11689</v>
      </c>
      <c r="B1366" s="65" t="s">
        <v>1310</v>
      </c>
      <c r="C1366" s="66">
        <v>4000</v>
      </c>
      <c r="D1366" s="57"/>
      <c r="E1366" s="57"/>
    </row>
    <row r="1367" spans="1:5" ht="31.5" thickBot="1" x14ac:dyDescent="0.3">
      <c r="A1367" s="41">
        <v>12055</v>
      </c>
      <c r="B1367" s="28" t="s">
        <v>1311</v>
      </c>
      <c r="C1367" s="40">
        <v>4500</v>
      </c>
      <c r="D1367" s="57"/>
      <c r="E1367" s="57"/>
    </row>
    <row r="1368" spans="1:5" ht="16" thickBot="1" x14ac:dyDescent="0.3">
      <c r="A1368" s="41"/>
      <c r="B1368" s="28" t="s">
        <v>923</v>
      </c>
      <c r="C1368" s="40"/>
      <c r="D1368" s="57"/>
      <c r="E1368" s="57"/>
    </row>
    <row r="1369" spans="1:5" ht="16" thickBot="1" x14ac:dyDescent="0.3">
      <c r="A1369" s="41">
        <v>12420</v>
      </c>
      <c r="B1369" s="28" t="e">
        <f>- chronické leukemie s nepatrnými laboratorními a klinickými projevy nebo v remisi</f>
        <v>#NAME?</v>
      </c>
      <c r="C1369" s="40">
        <v>1600</v>
      </c>
      <c r="D1369" s="57"/>
      <c r="E1369" s="57"/>
    </row>
    <row r="1370" spans="1:5" ht="16" thickBot="1" x14ac:dyDescent="0.3">
      <c r="A1370" s="41">
        <v>12785</v>
      </c>
      <c r="B1370" s="28" t="e">
        <f>- s mírnými laboratorními a klinickými projevy</f>
        <v>#NAME?</v>
      </c>
      <c r="C1370" s="40">
        <v>3000</v>
      </c>
      <c r="D1370" s="57"/>
      <c r="E1370" s="57"/>
    </row>
    <row r="1371" spans="1:5" ht="16" thickBot="1" x14ac:dyDescent="0.3">
      <c r="A1371" s="48">
        <v>13150</v>
      </c>
      <c r="B1371" s="24" t="s">
        <v>1312</v>
      </c>
      <c r="C1371" s="40">
        <v>4000</v>
      </c>
      <c r="D1371" s="57"/>
      <c r="E1371" s="57"/>
    </row>
    <row r="1372" spans="1:5" ht="16" thickBot="1" x14ac:dyDescent="0.3">
      <c r="A1372" s="41">
        <v>13516</v>
      </c>
      <c r="B1372" s="28" t="s">
        <v>1313</v>
      </c>
      <c r="C1372" s="40">
        <v>6000</v>
      </c>
      <c r="D1372" s="57"/>
      <c r="E1372" s="57"/>
    </row>
    <row r="1373" spans="1:5" ht="16" thickBot="1" x14ac:dyDescent="0.3">
      <c r="A1373" s="41"/>
      <c r="B1373" s="28"/>
      <c r="C1373" s="40"/>
      <c r="D1373" s="57"/>
      <c r="E1373" s="57"/>
    </row>
    <row r="1374" spans="1:5" ht="82.9" customHeight="1" thickBot="1" x14ac:dyDescent="0.3">
      <c r="A1374" s="53"/>
      <c r="B1374" s="65" t="s">
        <v>1314</v>
      </c>
      <c r="C1374" s="66"/>
      <c r="D1374" s="57"/>
      <c r="E1374" s="57"/>
    </row>
    <row r="1375" spans="1:5" ht="16" thickBot="1" x14ac:dyDescent="0.3">
      <c r="A1375" s="41">
        <v>13881</v>
      </c>
      <c r="B1375" s="28" t="s">
        <v>1062</v>
      </c>
      <c r="C1375" s="40">
        <v>160</v>
      </c>
      <c r="D1375" s="57"/>
      <c r="E1375" s="57"/>
    </row>
    <row r="1376" spans="1:5" ht="16" thickBot="1" x14ac:dyDescent="0.3">
      <c r="A1376" s="41">
        <v>14246</v>
      </c>
      <c r="B1376" s="28" t="s">
        <v>1315</v>
      </c>
      <c r="C1376" s="40">
        <v>1000</v>
      </c>
      <c r="D1376" s="57"/>
      <c r="E1376" s="57"/>
    </row>
    <row r="1377" spans="1:5" ht="31.5" thickBot="1" x14ac:dyDescent="0.3">
      <c r="A1377" s="41"/>
      <c r="B1377" s="28" t="s">
        <v>1316</v>
      </c>
      <c r="C1377" s="40"/>
      <c r="D1377" s="57"/>
      <c r="E1377" s="57"/>
    </row>
    <row r="1378" spans="1:5" ht="16" thickBot="1" x14ac:dyDescent="0.3">
      <c r="A1378" s="41">
        <v>14611</v>
      </c>
      <c r="B1378" s="28" t="s">
        <v>1317</v>
      </c>
      <c r="C1378" s="40">
        <v>1200</v>
      </c>
      <c r="D1378" s="57"/>
      <c r="E1378" s="57"/>
    </row>
    <row r="1379" spans="1:5" ht="27.65" customHeight="1" thickBot="1" x14ac:dyDescent="0.3">
      <c r="A1379" s="48">
        <v>14977</v>
      </c>
      <c r="B1379" s="65" t="e">
        <f>- středně těžkého stupně</f>
        <v>#NAME?</v>
      </c>
      <c r="C1379" s="66">
        <v>2400</v>
      </c>
      <c r="D1379" s="57"/>
      <c r="E1379" s="57"/>
    </row>
    <row r="1380" spans="1:5" ht="69" customHeight="1" thickBot="1" x14ac:dyDescent="0.3">
      <c r="A1380" s="48">
        <v>15342</v>
      </c>
      <c r="B1380" s="65" t="e">
        <f>- těžkého stupně</f>
        <v>#NAME?</v>
      </c>
      <c r="C1380" s="66">
        <v>4000</v>
      </c>
      <c r="D1380" s="57"/>
      <c r="E1380" s="57"/>
    </row>
    <row r="1381" spans="1:5" ht="16" thickBot="1" x14ac:dyDescent="0.3">
      <c r="A1381" s="41">
        <v>15707</v>
      </c>
      <c r="B1381" s="28" t="e">
        <f>- zvlášť těžká poškození vedoucí k pravostrannému srdečnímu selhávání na úrovni NYHA IV</f>
        <v>#NAME?</v>
      </c>
      <c r="C1381" s="40">
        <v>6000</v>
      </c>
      <c r="D1381" s="57"/>
      <c r="E1381" s="57"/>
    </row>
    <row r="1382" spans="1:5" ht="16" thickBot="1" x14ac:dyDescent="0.3">
      <c r="A1382" s="41"/>
      <c r="B1382" s="28"/>
      <c r="C1382" s="40"/>
      <c r="D1382" s="57"/>
      <c r="E1382" s="57"/>
    </row>
    <row r="1383" spans="1:5" ht="16" thickBot="1" x14ac:dyDescent="0.3">
      <c r="A1383" s="53"/>
      <c r="B1383" s="65" t="s">
        <v>1318</v>
      </c>
      <c r="C1383" s="66"/>
      <c r="D1383" s="57"/>
      <c r="E1383" s="57"/>
    </row>
    <row r="1384" spans="1:5" ht="16" thickBot="1" x14ac:dyDescent="0.3">
      <c r="A1384" s="41"/>
      <c r="B1384" s="28" t="s">
        <v>1319</v>
      </c>
      <c r="C1384" s="40"/>
      <c r="D1384" s="57"/>
      <c r="E1384" s="57"/>
    </row>
    <row r="1385" spans="1:5" ht="16" thickBot="1" x14ac:dyDescent="0.3">
      <c r="A1385" s="41">
        <v>16072</v>
      </c>
      <c r="B1385" s="28" t="e">
        <f>- po stabilizaci stavu</f>
        <v>#NAME?</v>
      </c>
      <c r="C1385" s="40">
        <v>4000</v>
      </c>
      <c r="D1385" s="57"/>
      <c r="E1385" s="57"/>
    </row>
    <row r="1386" spans="1:5" ht="41.5" customHeight="1" thickBot="1" x14ac:dyDescent="0.3">
      <c r="A1386" s="48">
        <v>16438</v>
      </c>
      <c r="B1386" s="65" t="e">
        <f>- nevyléčitelné formy</f>
        <v>#NAME?</v>
      </c>
      <c r="C1386" s="66">
        <v>6000</v>
      </c>
      <c r="D1386" s="57"/>
      <c r="E1386" s="57"/>
    </row>
    <row r="1387" spans="1:5" ht="16" thickBot="1" x14ac:dyDescent="0.3">
      <c r="A1387" s="41"/>
      <c r="B1387" s="28" t="s">
        <v>1320</v>
      </c>
      <c r="C1387" s="40"/>
      <c r="D1387" s="57"/>
      <c r="E1387" s="57"/>
    </row>
    <row r="1388" spans="1:5" ht="16" thickBot="1" x14ac:dyDescent="0.3">
      <c r="A1388" s="41">
        <v>16803</v>
      </c>
      <c r="B1388" s="28" t="e">
        <f>- po stabilizaci stavu</f>
        <v>#NAME?</v>
      </c>
      <c r="C1388" s="40">
        <v>4000</v>
      </c>
      <c r="D1388" s="57"/>
      <c r="E1388" s="57"/>
    </row>
    <row r="1389" spans="1:5" ht="16" thickBot="1" x14ac:dyDescent="0.3">
      <c r="A1389" s="41">
        <v>17168</v>
      </c>
      <c r="B1389" s="28" t="e">
        <f>- nevyléčitelné formy</f>
        <v>#NAME?</v>
      </c>
      <c r="C1389" s="40">
        <v>6000</v>
      </c>
      <c r="D1389" s="57"/>
      <c r="E1389" s="57"/>
    </row>
    <row r="1390" spans="1:5" ht="16" thickBot="1" x14ac:dyDescent="0.3">
      <c r="A1390" s="44"/>
      <c r="B1390" s="65" t="s">
        <v>1321</v>
      </c>
      <c r="C1390" s="66"/>
      <c r="D1390" s="57"/>
      <c r="E1390" s="57"/>
    </row>
    <row r="1391" spans="1:5" ht="16" thickBot="1" x14ac:dyDescent="0.3">
      <c r="A1391" s="41">
        <v>17533</v>
      </c>
      <c r="B1391" s="28" t="e">
        <f>- po odstranění nádoru v časném stadiu</f>
        <v>#NAME?</v>
      </c>
      <c r="C1391" s="40">
        <v>2000</v>
      </c>
      <c r="D1391" s="57"/>
      <c r="E1391" s="57"/>
    </row>
    <row r="1392" spans="1:5" ht="16" thickBot="1" x14ac:dyDescent="0.3">
      <c r="A1392" s="41">
        <v>17899</v>
      </c>
      <c r="B1392" s="28" t="e">
        <f>- v pozdním stadiu</f>
        <v>#NAME?</v>
      </c>
      <c r="C1392" s="40">
        <v>4000</v>
      </c>
      <c r="D1392" s="57"/>
      <c r="E1392" s="57"/>
    </row>
    <row r="1393" spans="1:5" ht="16" thickBot="1" x14ac:dyDescent="0.3">
      <c r="A1393" s="41">
        <v>18264</v>
      </c>
      <c r="B1393" s="28" t="e">
        <f>- nevyléčitelné formy</f>
        <v>#NAME?</v>
      </c>
      <c r="C1393" s="40">
        <v>6000</v>
      </c>
      <c r="D1393" s="57"/>
      <c r="E1393" s="57"/>
    </row>
    <row r="1394" spans="1:5" ht="16" thickBot="1" x14ac:dyDescent="0.3">
      <c r="A1394" s="53"/>
      <c r="B1394" s="65" t="s">
        <v>1322</v>
      </c>
      <c r="C1394" s="66"/>
      <c r="D1394" s="57"/>
      <c r="E1394" s="57"/>
    </row>
    <row r="1395" spans="1:5" ht="16" thickBot="1" x14ac:dyDescent="0.3">
      <c r="A1395" s="41">
        <v>18629</v>
      </c>
      <c r="B1395" s="28" t="s">
        <v>1323</v>
      </c>
      <c r="C1395" s="40">
        <v>2000</v>
      </c>
      <c r="D1395" s="57"/>
      <c r="E1395" s="57"/>
    </row>
    <row r="1396" spans="1:5" ht="16" thickBot="1" x14ac:dyDescent="0.3">
      <c r="A1396" s="41">
        <v>18994</v>
      </c>
      <c r="B1396" s="28" t="e">
        <f>- v pozdním stadiu</f>
        <v>#NAME?</v>
      </c>
      <c r="C1396" s="40">
        <v>4000</v>
      </c>
      <c r="D1396" s="57"/>
      <c r="E1396" s="57"/>
    </row>
    <row r="1397" spans="1:5" ht="27.65" customHeight="1" thickBot="1" x14ac:dyDescent="0.3">
      <c r="A1397" s="44">
        <v>19360</v>
      </c>
      <c r="B1397" s="65" t="e">
        <f>- nevyléčitelné formy</f>
        <v>#NAME?</v>
      </c>
      <c r="C1397" s="66">
        <v>6000</v>
      </c>
      <c r="D1397" s="57"/>
      <c r="E1397" s="57"/>
    </row>
    <row r="1398" spans="1:5" ht="16" thickBot="1" x14ac:dyDescent="0.3">
      <c r="A1398" s="41"/>
      <c r="B1398" s="28" t="s">
        <v>1324</v>
      </c>
      <c r="C1398" s="40"/>
      <c r="D1398" s="57"/>
      <c r="E1398" s="57"/>
    </row>
    <row r="1399" spans="1:5" ht="16" thickBot="1" x14ac:dyDescent="0.3">
      <c r="A1399" s="41">
        <v>19725</v>
      </c>
      <c r="B1399" s="28" t="s">
        <v>1325</v>
      </c>
      <c r="C1399" s="40">
        <v>1600</v>
      </c>
      <c r="D1399" s="57"/>
      <c r="E1399" s="57"/>
    </row>
    <row r="1400" spans="1:5" ht="55.15" customHeight="1" thickBot="1" x14ac:dyDescent="0.3">
      <c r="A1400" s="41">
        <v>20090</v>
      </c>
      <c r="B1400" s="61" t="s">
        <v>1326</v>
      </c>
      <c r="C1400" s="62">
        <v>6000</v>
      </c>
      <c r="D1400" s="57"/>
      <c r="E1400" s="57"/>
    </row>
    <row r="1401" spans="1:5" ht="69" customHeight="1" thickBot="1" x14ac:dyDescent="0.3">
      <c r="A1401" s="23"/>
      <c r="B1401" s="65" t="s">
        <v>1327</v>
      </c>
      <c r="C1401" s="66"/>
      <c r="D1401" s="57"/>
      <c r="E1401" s="57"/>
    </row>
    <row r="1402" spans="1:5" ht="31.5" thickBot="1" x14ac:dyDescent="0.3">
      <c r="A1402" s="44">
        <v>20455</v>
      </c>
      <c r="B1402" s="65" t="s">
        <v>1328</v>
      </c>
      <c r="C1402" s="66" t="s">
        <v>1329</v>
      </c>
      <c r="D1402" s="57"/>
      <c r="E1402" s="57"/>
    </row>
    <row r="1403" spans="1:5" ht="16" thickBot="1" x14ac:dyDescent="0.3">
      <c r="A1403" s="64">
        <v>20821</v>
      </c>
      <c r="B1403" s="28" t="s">
        <v>1326</v>
      </c>
      <c r="C1403" s="40">
        <v>6000</v>
      </c>
      <c r="D1403" s="57"/>
      <c r="E1403" s="57"/>
    </row>
    <row r="1404" spans="1:5" ht="16" thickBot="1" x14ac:dyDescent="0.3">
      <c r="A1404" s="64"/>
      <c r="B1404" s="28"/>
      <c r="C1404" s="40"/>
      <c r="D1404" s="57"/>
      <c r="E1404" s="57"/>
    </row>
    <row r="1405" spans="1:5" ht="16" thickBot="1" x14ac:dyDescent="0.3">
      <c r="A1405" s="64" t="s">
        <v>114</v>
      </c>
      <c r="B1405" s="28" t="s">
        <v>911</v>
      </c>
      <c r="C1405" s="40"/>
      <c r="D1405" s="57"/>
      <c r="E1405" s="57"/>
    </row>
    <row r="1406" spans="1:5" ht="16" thickBot="1" x14ac:dyDescent="0.3">
      <c r="A1406" s="64">
        <v>45659</v>
      </c>
      <c r="B1406" s="28" t="s">
        <v>1330</v>
      </c>
      <c r="C1406" s="40"/>
      <c r="D1406" s="57"/>
      <c r="E1406" s="57"/>
    </row>
    <row r="1407" spans="1:5" ht="16" thickBot="1" x14ac:dyDescent="0.3">
      <c r="A1407" s="48"/>
      <c r="B1407" s="65" t="s">
        <v>1307</v>
      </c>
      <c r="C1407" s="66"/>
      <c r="D1407" s="57"/>
      <c r="E1407" s="57"/>
    </row>
    <row r="1408" spans="1:5" ht="16" thickBot="1" x14ac:dyDescent="0.3">
      <c r="A1408" s="64">
        <v>36893</v>
      </c>
      <c r="B1408" s="28" t="e">
        <f>- mírná s trombocytopenií s mírnými klinickými projevy</f>
        <v>#NAME?</v>
      </c>
      <c r="C1408" s="40">
        <v>1200</v>
      </c>
      <c r="D1408" s="57"/>
      <c r="E1408" s="57"/>
    </row>
    <row r="1409" spans="1:5" ht="16" thickBot="1" x14ac:dyDescent="0.3">
      <c r="A1409" s="64">
        <v>37258</v>
      </c>
      <c r="B1409" s="28" t="e">
        <f>- středně těžká s těžkou trombocytopenií se středně těžce vyjádřenými klinickými projevy</f>
        <v>#NAME?</v>
      </c>
      <c r="C1409" s="40">
        <v>2400</v>
      </c>
      <c r="D1409" s="57"/>
      <c r="E1409" s="57"/>
    </row>
    <row r="1410" spans="1:5" ht="31.5" thickBot="1" x14ac:dyDescent="0.3">
      <c r="A1410" s="64">
        <v>37623</v>
      </c>
      <c r="B1410" s="28" t="s">
        <v>1331</v>
      </c>
      <c r="C1410" s="40">
        <v>4000</v>
      </c>
      <c r="D1410" s="57"/>
      <c r="E1410" s="57"/>
    </row>
    <row r="1411" spans="1:5" ht="16" thickBot="1" x14ac:dyDescent="0.3">
      <c r="A1411" s="64">
        <v>37988</v>
      </c>
      <c r="B1411" s="28" t="e">
        <f>- stav s přechodem do leukemie</f>
        <v>#NAME?</v>
      </c>
      <c r="C1411" s="40">
        <v>6000</v>
      </c>
      <c r="D1411" s="57"/>
      <c r="E1411" s="57"/>
    </row>
    <row r="1412" spans="1:5" ht="16" thickBot="1" x14ac:dyDescent="0.3">
      <c r="A1412" s="48"/>
      <c r="B1412" s="65" t="s">
        <v>923</v>
      </c>
      <c r="C1412" s="66"/>
      <c r="D1412" s="57"/>
      <c r="E1412" s="57"/>
    </row>
    <row r="1413" spans="1:5" ht="16" thickBot="1" x14ac:dyDescent="0.3">
      <c r="A1413" s="64">
        <v>38354</v>
      </c>
      <c r="B1413" s="28" t="e">
        <f>- chronické leukemie s nepatrnými laboratorními a klinickými projevy nebo v remisi</f>
        <v>#NAME?</v>
      </c>
      <c r="C1413" s="40">
        <v>1600</v>
      </c>
      <c r="D1413" s="57"/>
      <c r="E1413" s="57"/>
    </row>
    <row r="1414" spans="1:5" ht="16" thickBot="1" x14ac:dyDescent="0.3">
      <c r="A1414" s="64">
        <v>38719</v>
      </c>
      <c r="B1414" s="28" t="e">
        <f>- s mírnými laboratorními a klinickými projevy</f>
        <v>#NAME?</v>
      </c>
      <c r="C1414" s="40">
        <v>2400</v>
      </c>
      <c r="D1414" s="57"/>
      <c r="E1414" s="57"/>
    </row>
    <row r="1415" spans="1:5" ht="16" thickBot="1" x14ac:dyDescent="0.3">
      <c r="A1415" s="64">
        <v>39084</v>
      </c>
      <c r="B1415" s="28" t="s">
        <v>1312</v>
      </c>
      <c r="C1415" s="40">
        <v>4000</v>
      </c>
      <c r="D1415" s="57"/>
      <c r="E1415" s="57"/>
    </row>
    <row r="1416" spans="1:5" ht="16" thickBot="1" x14ac:dyDescent="0.3">
      <c r="A1416" s="64">
        <v>39449</v>
      </c>
      <c r="B1416" s="28" t="s">
        <v>1332</v>
      </c>
      <c r="C1416" s="40">
        <v>6000</v>
      </c>
      <c r="D1416" s="57"/>
      <c r="E1416" s="57"/>
    </row>
    <row r="1417" spans="1:5" ht="16" thickBot="1" x14ac:dyDescent="0.3">
      <c r="A1417" s="48"/>
      <c r="B1417" s="28" t="s">
        <v>918</v>
      </c>
      <c r="C1417" s="63"/>
      <c r="D1417" s="57"/>
      <c r="E1417" s="57"/>
    </row>
    <row r="1418" spans="1:5" ht="28.5" thickBot="1" x14ac:dyDescent="0.3">
      <c r="A1418" s="64">
        <v>39815</v>
      </c>
      <c r="B1418" s="28" t="e">
        <f>- po odstranění nádoru (nádorů) po stabilizaci stavu podle rozsahu a závažnosti</f>
        <v>#NAME?</v>
      </c>
      <c r="C1418" s="40" t="s">
        <v>1333</v>
      </c>
      <c r="D1418" s="57"/>
      <c r="E1418" s="57"/>
    </row>
    <row r="1419" spans="1:5" ht="16" thickBot="1" x14ac:dyDescent="0.3">
      <c r="A1419" s="64">
        <v>40180</v>
      </c>
      <c r="B1419" s="28" t="e">
        <f>- metastazující formy se závažnou prognózou</f>
        <v>#NAME?</v>
      </c>
      <c r="C1419" s="40">
        <v>6000</v>
      </c>
      <c r="D1419" s="57"/>
      <c r="E1419" s="57"/>
    </row>
    <row r="1420" spans="1:5" ht="55.15" customHeight="1" thickBot="1" x14ac:dyDescent="0.3">
      <c r="A1420" s="23">
        <v>40545</v>
      </c>
      <c r="B1420" s="65" t="s">
        <v>1334</v>
      </c>
      <c r="C1420" s="66">
        <v>1200</v>
      </c>
      <c r="D1420" s="57"/>
      <c r="E1420" s="57"/>
    </row>
    <row r="1421" spans="1:5" ht="31.5" thickBot="1" x14ac:dyDescent="0.3">
      <c r="A1421" s="64">
        <v>40910</v>
      </c>
      <c r="B1421" s="28" t="s">
        <v>1335</v>
      </c>
      <c r="C1421" s="40" t="s">
        <v>1336</v>
      </c>
      <c r="D1421" s="57"/>
      <c r="E1421" s="57"/>
    </row>
    <row r="1422" spans="1:5" ht="55.15" customHeight="1" thickBot="1" x14ac:dyDescent="0.3">
      <c r="A1422" s="23"/>
      <c r="B1422" s="65" t="s">
        <v>1337</v>
      </c>
      <c r="C1422" s="66"/>
      <c r="D1422" s="57"/>
      <c r="E1422" s="57"/>
    </row>
    <row r="1423" spans="1:5" ht="16" thickBot="1" x14ac:dyDescent="0.3">
      <c r="A1423" s="64">
        <v>41276</v>
      </c>
      <c r="B1423" s="28" t="e">
        <f>- po stabilizaci stavu</f>
        <v>#NAME?</v>
      </c>
      <c r="C1423" s="40">
        <v>4000</v>
      </c>
      <c r="D1423" s="57"/>
      <c r="E1423" s="57"/>
    </row>
    <row r="1424" spans="1:5" ht="69" customHeight="1" thickBot="1" x14ac:dyDescent="0.3">
      <c r="A1424" s="23">
        <v>41641</v>
      </c>
      <c r="B1424" s="65" t="e">
        <f>- nevyléčitelné formy</f>
        <v>#NAME?</v>
      </c>
      <c r="C1424" s="66">
        <v>6000</v>
      </c>
      <c r="D1424" s="57"/>
      <c r="E1424" s="57"/>
    </row>
    <row r="1425" spans="1:5" ht="16" thickBot="1" x14ac:dyDescent="0.3">
      <c r="A1425" s="64"/>
      <c r="B1425" s="28"/>
      <c r="C1425" s="40"/>
      <c r="D1425" s="57"/>
      <c r="E1425" s="57"/>
    </row>
    <row r="1426" spans="1:5" ht="16" thickBot="1" x14ac:dyDescent="0.3">
      <c r="A1426" s="64">
        <v>45690</v>
      </c>
      <c r="B1426" s="28" t="s">
        <v>925</v>
      </c>
      <c r="C1426" s="40"/>
      <c r="D1426" s="57"/>
      <c r="E1426" s="57"/>
    </row>
    <row r="1427" spans="1:5" ht="82.9" customHeight="1" thickBot="1" x14ac:dyDescent="0.3">
      <c r="A1427" s="23">
        <v>36924</v>
      </c>
      <c r="B1427" s="65" t="s">
        <v>1338</v>
      </c>
      <c r="C1427" s="66">
        <v>1200</v>
      </c>
      <c r="D1427" s="57"/>
      <c r="E1427" s="57"/>
    </row>
    <row r="1428" spans="1:5" ht="16" thickBot="1" x14ac:dyDescent="0.3">
      <c r="A1428" s="64"/>
      <c r="B1428" s="28"/>
      <c r="C1428" s="40"/>
      <c r="D1428" s="57"/>
      <c r="E1428" s="57"/>
    </row>
    <row r="1429" spans="1:5" ht="96.65" customHeight="1" thickBot="1" x14ac:dyDescent="0.3">
      <c r="A1429" s="41">
        <v>45718</v>
      </c>
      <c r="B1429" s="65" t="s">
        <v>927</v>
      </c>
      <c r="C1429" s="66"/>
      <c r="D1429" s="57"/>
      <c r="E1429" s="57"/>
    </row>
    <row r="1430" spans="1:5" ht="16" thickBot="1" x14ac:dyDescent="0.3">
      <c r="A1430" s="64">
        <v>36952</v>
      </c>
      <c r="B1430" s="28" t="s">
        <v>927</v>
      </c>
      <c r="C1430" s="40">
        <v>1200</v>
      </c>
      <c r="D1430" s="57"/>
      <c r="E1430" s="57"/>
    </row>
    <row r="1431" spans="1:5" ht="16" thickBot="1" x14ac:dyDescent="0.3">
      <c r="A1431" s="64"/>
      <c r="B1431" s="28"/>
      <c r="C1431" s="40"/>
      <c r="D1431" s="57"/>
      <c r="E1431" s="57"/>
    </row>
    <row r="1432" spans="1:5" ht="16" thickBot="1" x14ac:dyDescent="0.3">
      <c r="A1432" s="64">
        <v>45749</v>
      </c>
      <c r="B1432" s="28" t="s">
        <v>1339</v>
      </c>
      <c r="C1432" s="40"/>
      <c r="D1432" s="57"/>
      <c r="E1432" s="57"/>
    </row>
    <row r="1433" spans="1:5" ht="31.5" thickBot="1" x14ac:dyDescent="0.3">
      <c r="A1433" s="64">
        <v>36983</v>
      </c>
      <c r="B1433" s="28" t="s">
        <v>1340</v>
      </c>
      <c r="C1433" s="40" t="s">
        <v>1341</v>
      </c>
      <c r="D1433" s="57"/>
      <c r="E1433" s="57"/>
    </row>
    <row r="1434" spans="1:5" ht="151.9" customHeight="1" thickBot="1" x14ac:dyDescent="0.3">
      <c r="A1434" s="23">
        <v>37348</v>
      </c>
      <c r="B1434" s="65" t="s">
        <v>1342</v>
      </c>
      <c r="C1434" s="66">
        <v>600</v>
      </c>
      <c r="D1434" s="57"/>
      <c r="E1434" s="57"/>
    </row>
    <row r="1435" spans="1:5" ht="193.15" customHeight="1" thickBot="1" x14ac:dyDescent="0.3">
      <c r="A1435" s="48"/>
      <c r="B1435" s="61"/>
      <c r="C1435" s="62"/>
      <c r="D1435" s="57"/>
      <c r="E1435" s="57"/>
    </row>
    <row r="1436" spans="1:5" ht="193.15" customHeight="1" thickBot="1" x14ac:dyDescent="0.3">
      <c r="A1436" s="44">
        <v>45779</v>
      </c>
      <c r="B1436" s="61" t="s">
        <v>931</v>
      </c>
      <c r="C1436" s="62"/>
      <c r="D1436" s="57"/>
      <c r="E1436" s="57"/>
    </row>
    <row r="1437" spans="1:5" ht="93.5" thickBot="1" x14ac:dyDescent="0.3">
      <c r="A1437" s="64">
        <v>37013</v>
      </c>
      <c r="B1437" s="28" t="s">
        <v>1343</v>
      </c>
      <c r="C1437" s="40" t="s">
        <v>1344</v>
      </c>
      <c r="D1437" s="57"/>
      <c r="E1437" s="57"/>
    </row>
    <row r="1438" spans="1:5" ht="16" thickBot="1" x14ac:dyDescent="0.3">
      <c r="A1438" s="64"/>
      <c r="B1438" s="28"/>
      <c r="C1438" s="40"/>
      <c r="D1438" s="57"/>
      <c r="E1438" s="57"/>
    </row>
    <row r="1439" spans="1:5" ht="31.5" thickBot="1" x14ac:dyDescent="0.3">
      <c r="A1439" s="64" t="s">
        <v>1345</v>
      </c>
      <c r="B1439" s="28" t="s">
        <v>1346</v>
      </c>
      <c r="C1439" s="40"/>
      <c r="D1439" s="57"/>
      <c r="E1439" s="57"/>
    </row>
    <row r="1440" spans="1:5" ht="16" thickBot="1" x14ac:dyDescent="0.3">
      <c r="A1440" s="64">
        <v>37044</v>
      </c>
      <c r="B1440" s="28" t="s">
        <v>1347</v>
      </c>
      <c r="C1440" s="40">
        <v>400</v>
      </c>
      <c r="D1440" s="57"/>
      <c r="E1440" s="57"/>
    </row>
    <row r="1441" spans="1:5" ht="345" customHeight="1" thickBot="1" x14ac:dyDescent="0.3">
      <c r="A1441" s="23">
        <v>37409</v>
      </c>
      <c r="B1441" s="65" t="s">
        <v>1348</v>
      </c>
      <c r="C1441" s="66">
        <v>500</v>
      </c>
      <c r="D1441" s="57"/>
      <c r="E1441" s="57"/>
    </row>
    <row r="1442" spans="1:5" ht="16" thickBot="1" x14ac:dyDescent="0.3">
      <c r="A1442" s="64">
        <v>37774</v>
      </c>
      <c r="B1442" s="28" t="s">
        <v>1349</v>
      </c>
      <c r="C1442" s="40">
        <v>700</v>
      </c>
      <c r="D1442" s="57"/>
      <c r="E1442" s="57"/>
    </row>
    <row r="1443" spans="1:5" ht="16" thickBot="1" x14ac:dyDescent="0.3">
      <c r="A1443" s="64">
        <v>38140</v>
      </c>
      <c r="B1443" s="28" t="s">
        <v>1350</v>
      </c>
      <c r="C1443" s="40">
        <v>800</v>
      </c>
      <c r="D1443" s="57"/>
      <c r="E1443" s="57"/>
    </row>
    <row r="1444" spans="1:5" ht="16" thickBot="1" x14ac:dyDescent="0.3">
      <c r="A1444" s="64"/>
      <c r="B1444" s="28"/>
      <c r="C1444" s="40"/>
      <c r="D1444" s="57"/>
      <c r="E1444" s="57"/>
    </row>
    <row r="1445" spans="1:5" ht="47" thickBot="1" x14ac:dyDescent="0.3">
      <c r="A1445" s="64">
        <v>45840</v>
      </c>
      <c r="B1445" s="28" t="s">
        <v>1351</v>
      </c>
      <c r="C1445" s="40"/>
      <c r="D1445" s="57"/>
      <c r="E1445" s="57"/>
    </row>
    <row r="1446" spans="1:5" ht="62.5" thickBot="1" x14ac:dyDescent="0.3">
      <c r="A1446" s="64"/>
      <c r="B1446" s="28" t="s">
        <v>1352</v>
      </c>
      <c r="C1446" s="40"/>
      <c r="D1446" s="57"/>
      <c r="E1446" s="57"/>
    </row>
    <row r="1447" spans="1:5" ht="62.5" thickBot="1" x14ac:dyDescent="0.3">
      <c r="A1447" s="64"/>
      <c r="B1447" s="28" t="s">
        <v>1353</v>
      </c>
      <c r="C1447" s="40"/>
      <c r="D1447" s="57"/>
      <c r="E1447" s="57"/>
    </row>
    <row r="1448" spans="1:5" ht="16" thickBot="1" x14ac:dyDescent="0.3">
      <c r="A1448" s="23">
        <v>37074</v>
      </c>
      <c r="B1448" s="24" t="s">
        <v>1354</v>
      </c>
      <c r="C1448" s="63">
        <v>500</v>
      </c>
      <c r="D1448" s="57"/>
      <c r="E1448" s="57"/>
    </row>
    <row r="1449" spans="1:5" ht="16" thickBot="1" x14ac:dyDescent="0.3">
      <c r="A1449" s="64">
        <v>37439</v>
      </c>
      <c r="B1449" s="28" t="s">
        <v>1355</v>
      </c>
      <c r="C1449" s="40">
        <v>700</v>
      </c>
      <c r="D1449" s="57"/>
      <c r="E1449" s="57"/>
    </row>
    <row r="1450" spans="1:5" ht="16" thickBot="1" x14ac:dyDescent="0.3">
      <c r="A1450" s="64">
        <v>37804</v>
      </c>
      <c r="B1450" s="28" t="s">
        <v>1356</v>
      </c>
      <c r="C1450" s="40">
        <v>500</v>
      </c>
      <c r="D1450" s="57"/>
      <c r="E1450" s="57"/>
    </row>
    <row r="1451" spans="1:5" ht="16" thickBot="1" x14ac:dyDescent="0.3">
      <c r="A1451" s="64">
        <v>38170</v>
      </c>
      <c r="B1451" s="28" t="s">
        <v>1357</v>
      </c>
      <c r="C1451" s="40">
        <v>700</v>
      </c>
      <c r="D1451" s="57"/>
      <c r="E1451" s="57"/>
    </row>
    <row r="1452" spans="1:5" ht="16" thickBot="1" x14ac:dyDescent="0.3">
      <c r="A1452" s="64"/>
      <c r="B1452" s="28"/>
      <c r="C1452" s="40"/>
      <c r="D1452" s="57"/>
      <c r="E1452" s="57"/>
    </row>
    <row r="1453" spans="1:5" ht="78" thickBot="1" x14ac:dyDescent="0.3">
      <c r="A1453" s="64">
        <v>45871</v>
      </c>
      <c r="B1453" s="28" t="s">
        <v>1358</v>
      </c>
      <c r="C1453" s="40"/>
      <c r="D1453" s="57"/>
      <c r="E1453" s="57"/>
    </row>
    <row r="1454" spans="1:5" ht="31.5" thickBot="1" x14ac:dyDescent="0.3">
      <c r="A1454" s="64">
        <v>37105</v>
      </c>
      <c r="B1454" s="28" t="s">
        <v>1359</v>
      </c>
      <c r="C1454" s="40">
        <v>300</v>
      </c>
      <c r="D1454" s="57"/>
      <c r="E1454" s="57"/>
    </row>
    <row r="1455" spans="1:5" ht="31.5" thickBot="1" x14ac:dyDescent="0.3">
      <c r="A1455" s="64">
        <v>37470</v>
      </c>
      <c r="B1455" s="28" t="s">
        <v>1360</v>
      </c>
      <c r="C1455" s="40">
        <v>400</v>
      </c>
      <c r="D1455" s="57"/>
      <c r="E1455" s="57"/>
    </row>
    <row r="1456" spans="1:5" ht="16" thickBot="1" x14ac:dyDescent="0.3">
      <c r="A1456" s="64">
        <v>37835</v>
      </c>
      <c r="B1456" s="28" t="s">
        <v>1361</v>
      </c>
      <c r="C1456" s="40">
        <v>700</v>
      </c>
      <c r="D1456" s="57"/>
      <c r="E1456" s="57"/>
    </row>
    <row r="1457" spans="1:5" ht="16" thickBot="1" x14ac:dyDescent="0.3">
      <c r="A1457" s="64">
        <v>38201</v>
      </c>
      <c r="B1457" s="28" t="s">
        <v>1362</v>
      </c>
      <c r="C1457" s="40">
        <v>900</v>
      </c>
      <c r="D1457" s="57"/>
      <c r="E1457" s="57"/>
    </row>
    <row r="1458" spans="1:5" ht="31.5" thickBot="1" x14ac:dyDescent="0.3">
      <c r="A1458" s="64">
        <v>38566</v>
      </c>
      <c r="B1458" s="28" t="s">
        <v>1363</v>
      </c>
      <c r="C1458" s="40">
        <v>400</v>
      </c>
      <c r="D1458" s="57"/>
      <c r="E1458" s="57"/>
    </row>
    <row r="1459" spans="1:5" ht="31.5" thickBot="1" x14ac:dyDescent="0.3">
      <c r="A1459" s="64">
        <v>38931</v>
      </c>
      <c r="B1459" s="28" t="s">
        <v>1364</v>
      </c>
      <c r="C1459" s="40">
        <v>500</v>
      </c>
      <c r="D1459" s="57"/>
      <c r="E1459" s="57"/>
    </row>
    <row r="1460" spans="1:5" ht="16" thickBot="1" x14ac:dyDescent="0.3">
      <c r="A1460" s="64"/>
      <c r="B1460" s="28"/>
      <c r="C1460" s="40"/>
      <c r="D1460" s="57"/>
      <c r="E1460" s="57"/>
    </row>
    <row r="1461" spans="1:5" ht="78" thickBot="1" x14ac:dyDescent="0.3">
      <c r="A1461" s="64">
        <v>45902</v>
      </c>
      <c r="B1461" s="28" t="s">
        <v>1365</v>
      </c>
      <c r="C1461" s="40"/>
      <c r="D1461" s="57"/>
      <c r="E1461" s="57"/>
    </row>
    <row r="1462" spans="1:5" ht="31.5" thickBot="1" x14ac:dyDescent="0.3">
      <c r="A1462" s="64">
        <v>37136</v>
      </c>
      <c r="B1462" s="28" t="s">
        <v>1366</v>
      </c>
      <c r="C1462" s="40">
        <v>400</v>
      </c>
      <c r="D1462" s="57"/>
      <c r="E1462" s="57"/>
    </row>
    <row r="1463" spans="1:5" ht="31.5" thickBot="1" x14ac:dyDescent="0.3">
      <c r="A1463" s="64">
        <v>37501</v>
      </c>
      <c r="B1463" s="28" t="s">
        <v>1367</v>
      </c>
      <c r="C1463" s="40">
        <v>600</v>
      </c>
      <c r="D1463" s="57"/>
      <c r="E1463" s="57"/>
    </row>
    <row r="1464" spans="1:5" ht="31.5" thickBot="1" x14ac:dyDescent="0.3">
      <c r="A1464" s="64">
        <v>37866</v>
      </c>
      <c r="B1464" s="28" t="s">
        <v>1368</v>
      </c>
      <c r="C1464" s="40">
        <v>400</v>
      </c>
      <c r="D1464" s="57"/>
      <c r="E1464" s="57"/>
    </row>
    <row r="1465" spans="1:5" ht="303.64999999999998" customHeight="1" thickBot="1" x14ac:dyDescent="0.3">
      <c r="A1465" s="23">
        <v>38232</v>
      </c>
      <c r="B1465" s="65" t="s">
        <v>1369</v>
      </c>
      <c r="C1465" s="66">
        <v>500</v>
      </c>
      <c r="D1465" s="57"/>
      <c r="E1465" s="57"/>
    </row>
    <row r="1466" spans="1:5" ht="16" thickBot="1" x14ac:dyDescent="0.3">
      <c r="A1466" s="64">
        <v>38597</v>
      </c>
      <c r="B1466" s="28" t="s">
        <v>1370</v>
      </c>
      <c r="C1466" s="40">
        <v>400</v>
      </c>
      <c r="D1466" s="57"/>
      <c r="E1466" s="57"/>
    </row>
    <row r="1467" spans="1:5" ht="16" thickBot="1" x14ac:dyDescent="0.3">
      <c r="A1467" s="64">
        <v>38962</v>
      </c>
      <c r="B1467" s="28" t="s">
        <v>1371</v>
      </c>
      <c r="C1467" s="40">
        <v>600</v>
      </c>
      <c r="D1467" s="57"/>
      <c r="E1467" s="57"/>
    </row>
    <row r="1468" spans="1:5" ht="16" thickBot="1" x14ac:dyDescent="0.3">
      <c r="A1468" s="64">
        <v>39327</v>
      </c>
      <c r="B1468" s="28" t="s">
        <v>1361</v>
      </c>
      <c r="C1468" s="40">
        <v>700</v>
      </c>
      <c r="D1468" s="57"/>
      <c r="E1468" s="57"/>
    </row>
    <row r="1469" spans="1:5" ht="16" thickBot="1" x14ac:dyDescent="0.3">
      <c r="A1469" s="64">
        <v>39693</v>
      </c>
      <c r="B1469" s="28" t="s">
        <v>1362</v>
      </c>
      <c r="C1469" s="40">
        <v>900</v>
      </c>
      <c r="D1469" s="57"/>
      <c r="E1469" s="57"/>
    </row>
    <row r="1470" spans="1:5" ht="31.5" thickBot="1" x14ac:dyDescent="0.3">
      <c r="A1470" s="64">
        <v>40058</v>
      </c>
      <c r="B1470" s="28" t="s">
        <v>1363</v>
      </c>
      <c r="C1470" s="40">
        <v>400</v>
      </c>
      <c r="D1470" s="57"/>
      <c r="E1470" s="57"/>
    </row>
    <row r="1471" spans="1:5" ht="31.5" thickBot="1" x14ac:dyDescent="0.3">
      <c r="A1471" s="64">
        <v>40423</v>
      </c>
      <c r="B1471" s="28" t="s">
        <v>1372</v>
      </c>
      <c r="C1471" s="40">
        <v>500</v>
      </c>
      <c r="D1471" s="57"/>
      <c r="E1471" s="57"/>
    </row>
    <row r="1472" spans="1:5" ht="16" thickBot="1" x14ac:dyDescent="0.3">
      <c r="A1472" s="64">
        <v>40788</v>
      </c>
      <c r="B1472" s="28" t="s">
        <v>1373</v>
      </c>
      <c r="C1472" s="40">
        <v>900</v>
      </c>
      <c r="D1472" s="57"/>
      <c r="E1472" s="57"/>
    </row>
    <row r="1473" spans="1:5" ht="96.65" customHeight="1" thickBot="1" x14ac:dyDescent="0.3">
      <c r="A1473" s="64">
        <v>41154</v>
      </c>
      <c r="B1473" s="65" t="s">
        <v>1374</v>
      </c>
      <c r="C1473" s="66">
        <v>1000</v>
      </c>
      <c r="D1473" s="57"/>
      <c r="E1473" s="57"/>
    </row>
    <row r="1474" spans="1:5" ht="193.15" customHeight="1" x14ac:dyDescent="0.25">
      <c r="A1474" s="32">
        <v>41519</v>
      </c>
      <c r="B1474" s="111" t="s">
        <v>1375</v>
      </c>
      <c r="C1474" s="112">
        <v>1200</v>
      </c>
      <c r="D1474" s="57"/>
      <c r="E1474" s="57"/>
    </row>
    <row r="1475" spans="1:5" ht="165.65" customHeight="1" x14ac:dyDescent="0.25">
      <c r="A1475" s="70">
        <v>41884</v>
      </c>
      <c r="B1475" s="119" t="s">
        <v>1376</v>
      </c>
      <c r="C1475" s="120">
        <v>1200</v>
      </c>
      <c r="D1475" s="57"/>
      <c r="E1475" s="57"/>
    </row>
    <row r="1476" spans="1:5" ht="151.9" customHeight="1" x14ac:dyDescent="0.25">
      <c r="A1476" s="70">
        <v>42249</v>
      </c>
      <c r="B1476" s="119" t="s">
        <v>1377</v>
      </c>
      <c r="C1476" s="120">
        <v>1000</v>
      </c>
      <c r="D1476" s="57"/>
      <c r="E1476" s="57"/>
    </row>
    <row r="1477" spans="1:5" ht="124.15" customHeight="1" thickBot="1" x14ac:dyDescent="0.3">
      <c r="A1477" s="23">
        <v>42615</v>
      </c>
      <c r="B1477" s="121" t="s">
        <v>964</v>
      </c>
      <c r="C1477" s="122">
        <v>3000</v>
      </c>
      <c r="D1477" s="57"/>
      <c r="E1477" s="57"/>
    </row>
    <row r="1478" spans="1:5" ht="16" thickBot="1" x14ac:dyDescent="0.3">
      <c r="A1478" s="64"/>
      <c r="B1478" s="28"/>
      <c r="C1478" s="40"/>
      <c r="D1478" s="57"/>
      <c r="E1478" s="57"/>
    </row>
    <row r="1479" spans="1:5" ht="78" thickBot="1" x14ac:dyDescent="0.3">
      <c r="A1479" s="64">
        <v>45932</v>
      </c>
      <c r="B1479" s="28" t="s">
        <v>965</v>
      </c>
      <c r="C1479" s="40"/>
      <c r="D1479" s="57"/>
      <c r="E1479" s="57"/>
    </row>
    <row r="1480" spans="1:5" ht="16" thickBot="1" x14ac:dyDescent="0.3">
      <c r="A1480" s="64">
        <v>37166</v>
      </c>
      <c r="B1480" s="28" t="s">
        <v>1378</v>
      </c>
      <c r="C1480" s="40">
        <v>500</v>
      </c>
      <c r="D1480" s="57"/>
      <c r="E1480" s="57"/>
    </row>
    <row r="1481" spans="1:5" ht="16" thickBot="1" x14ac:dyDescent="0.3">
      <c r="A1481" s="64">
        <v>37531</v>
      </c>
      <c r="B1481" s="28" t="s">
        <v>1379</v>
      </c>
      <c r="C1481" s="40">
        <v>700</v>
      </c>
      <c r="D1481" s="57"/>
      <c r="E1481" s="57"/>
    </row>
    <row r="1482" spans="1:5" ht="16" thickBot="1" x14ac:dyDescent="0.3">
      <c r="A1482" s="64">
        <v>37896</v>
      </c>
      <c r="B1482" s="28" t="s">
        <v>1380</v>
      </c>
      <c r="C1482" s="40">
        <v>500</v>
      </c>
      <c r="D1482" s="57"/>
      <c r="E1482" s="57"/>
    </row>
    <row r="1483" spans="1:5" ht="16" thickBot="1" x14ac:dyDescent="0.3">
      <c r="A1483" s="64">
        <v>38262</v>
      </c>
      <c r="B1483" s="28" t="s">
        <v>1381</v>
      </c>
      <c r="C1483" s="40">
        <v>700</v>
      </c>
      <c r="D1483" s="57"/>
      <c r="E1483" s="57"/>
    </row>
    <row r="1484" spans="1:5" ht="16" thickBot="1" x14ac:dyDescent="0.3">
      <c r="A1484" s="64">
        <v>38627</v>
      </c>
      <c r="B1484" s="28" t="s">
        <v>1382</v>
      </c>
      <c r="C1484" s="40">
        <v>500</v>
      </c>
      <c r="D1484" s="57"/>
      <c r="E1484" s="57"/>
    </row>
    <row r="1485" spans="1:5" ht="96.65" customHeight="1" x14ac:dyDescent="0.25">
      <c r="A1485" s="32">
        <v>38992</v>
      </c>
      <c r="B1485" s="111" t="s">
        <v>1383</v>
      </c>
      <c r="C1485" s="112">
        <v>700</v>
      </c>
      <c r="D1485" s="57"/>
      <c r="E1485" s="57"/>
    </row>
    <row r="1486" spans="1:5" ht="110.5" customHeight="1" x14ac:dyDescent="0.25">
      <c r="A1486" s="70">
        <v>39357</v>
      </c>
      <c r="B1486" s="119" t="s">
        <v>966</v>
      </c>
      <c r="C1486" s="120">
        <v>700</v>
      </c>
      <c r="D1486" s="57"/>
      <c r="E1486" s="57"/>
    </row>
    <row r="1487" spans="1:5" ht="69" customHeight="1" x14ac:dyDescent="0.25">
      <c r="A1487" s="70"/>
      <c r="B1487" s="119"/>
      <c r="C1487" s="120"/>
      <c r="D1487" s="57"/>
      <c r="E1487" s="57"/>
    </row>
    <row r="1488" spans="1:5" ht="13.9" customHeight="1" x14ac:dyDescent="0.25">
      <c r="A1488" s="70">
        <v>45963</v>
      </c>
      <c r="B1488" s="119" t="s">
        <v>969</v>
      </c>
      <c r="C1488" s="120"/>
      <c r="D1488" s="57"/>
      <c r="E1488" s="57"/>
    </row>
    <row r="1489" spans="1:5" ht="96.65" customHeight="1" thickBot="1" x14ac:dyDescent="0.3">
      <c r="A1489" s="23"/>
      <c r="B1489" s="121" t="s">
        <v>970</v>
      </c>
      <c r="C1489" s="122"/>
      <c r="D1489" s="57"/>
      <c r="E1489" s="57"/>
    </row>
    <row r="1490" spans="1:5" ht="155.5" thickBot="1" x14ac:dyDescent="0.3">
      <c r="A1490" s="64"/>
      <c r="B1490" s="28" t="s">
        <v>971</v>
      </c>
      <c r="C1490" s="40"/>
      <c r="D1490" s="57"/>
      <c r="E1490" s="57"/>
    </row>
    <row r="1491" spans="1:5" ht="16" thickBot="1" x14ac:dyDescent="0.3">
      <c r="A1491" s="64">
        <v>37197</v>
      </c>
      <c r="B1491" s="28" t="e">
        <f>- středně těžké formy</f>
        <v>#NAME?</v>
      </c>
      <c r="C1491" s="40">
        <v>1500</v>
      </c>
      <c r="D1491" s="57"/>
      <c r="E1491" s="57"/>
    </row>
    <row r="1492" spans="1:5" ht="28.5" thickBot="1" x14ac:dyDescent="0.3">
      <c r="A1492" s="64">
        <v>37562</v>
      </c>
      <c r="B1492" s="28" t="e">
        <f>- těžké formy</f>
        <v>#NAME?</v>
      </c>
      <c r="C1492" s="40" t="s">
        <v>1384</v>
      </c>
      <c r="D1492" s="57"/>
      <c r="E1492" s="57"/>
    </row>
    <row r="1493" spans="1:5" ht="16" thickBot="1" x14ac:dyDescent="0.3">
      <c r="A1493" s="64"/>
      <c r="B1493" s="28"/>
      <c r="C1493" s="40"/>
      <c r="D1493" s="57"/>
      <c r="E1493" s="57"/>
    </row>
    <row r="1494" spans="1:5" ht="31.5" thickBot="1" x14ac:dyDescent="0.3">
      <c r="A1494" s="44" t="s">
        <v>133</v>
      </c>
      <c r="B1494" s="65" t="s">
        <v>974</v>
      </c>
      <c r="C1494" s="66"/>
      <c r="D1494" s="57"/>
      <c r="E1494" s="57"/>
    </row>
    <row r="1495" spans="1:5" ht="47" thickBot="1" x14ac:dyDescent="0.3">
      <c r="A1495" s="64">
        <v>45660</v>
      </c>
      <c r="B1495" s="28" t="s">
        <v>1385</v>
      </c>
      <c r="C1495" s="40"/>
      <c r="D1495" s="57"/>
      <c r="E1495" s="57"/>
    </row>
    <row r="1496" spans="1:5" ht="31.5" thickBot="1" x14ac:dyDescent="0.3">
      <c r="A1496" s="64" t="s">
        <v>1386</v>
      </c>
      <c r="B1496" s="28"/>
      <c r="C1496" s="40"/>
      <c r="D1496" s="57"/>
      <c r="E1496" s="57"/>
    </row>
    <row r="1497" spans="1:5" ht="31.5" thickBot="1" x14ac:dyDescent="0.3">
      <c r="A1497" s="44" t="s">
        <v>1387</v>
      </c>
      <c r="B1497" s="24"/>
      <c r="C1497" s="63"/>
      <c r="D1497" s="57"/>
      <c r="E1497" s="57"/>
    </row>
    <row r="1498" spans="1:5" ht="31.5" thickBot="1" x14ac:dyDescent="0.3">
      <c r="A1498" s="64" t="s">
        <v>1388</v>
      </c>
      <c r="B1498" s="28"/>
      <c r="C1498" s="40"/>
      <c r="D1498" s="57"/>
      <c r="E1498" s="57"/>
    </row>
    <row r="1499" spans="1:5" ht="31.5" thickBot="1" x14ac:dyDescent="0.3">
      <c r="A1499" s="64">
        <v>36894</v>
      </c>
      <c r="B1499" s="28" t="s">
        <v>1389</v>
      </c>
      <c r="C1499" s="40">
        <v>1200</v>
      </c>
      <c r="D1499" s="57"/>
      <c r="E1499" s="57"/>
    </row>
    <row r="1500" spans="1:5" ht="31.5" thickBot="1" x14ac:dyDescent="0.3">
      <c r="A1500" s="23">
        <v>37259</v>
      </c>
      <c r="B1500" s="24" t="s">
        <v>1390</v>
      </c>
      <c r="C1500" s="63">
        <v>2000</v>
      </c>
      <c r="D1500" s="57"/>
      <c r="E1500" s="57"/>
    </row>
    <row r="1501" spans="1:5" ht="62.5" thickBot="1" x14ac:dyDescent="0.3">
      <c r="A1501" s="64">
        <v>37624</v>
      </c>
      <c r="B1501" s="28" t="s">
        <v>1391</v>
      </c>
      <c r="C1501" s="63">
        <v>4000</v>
      </c>
      <c r="D1501" s="57"/>
      <c r="E1501" s="57"/>
    </row>
    <row r="1502" spans="1:5" ht="31.5" thickBot="1" x14ac:dyDescent="0.3">
      <c r="A1502" s="64">
        <v>37989</v>
      </c>
      <c r="B1502" s="28" t="s">
        <v>1392</v>
      </c>
      <c r="C1502" s="40">
        <v>5000</v>
      </c>
      <c r="D1502" s="57"/>
      <c r="E1502" s="57"/>
    </row>
    <row r="1503" spans="1:5" ht="31.5" thickBot="1" x14ac:dyDescent="0.3">
      <c r="A1503" s="64">
        <v>38355</v>
      </c>
      <c r="B1503" s="28" t="s">
        <v>1393</v>
      </c>
      <c r="C1503" s="40">
        <v>5000</v>
      </c>
      <c r="D1503" s="57"/>
      <c r="E1503" s="57"/>
    </row>
    <row r="1504" spans="1:5" ht="47" thickBot="1" x14ac:dyDescent="0.3">
      <c r="A1504" s="64">
        <v>38720</v>
      </c>
      <c r="B1504" s="28" t="s">
        <v>1394</v>
      </c>
      <c r="C1504" s="40">
        <v>6000</v>
      </c>
      <c r="D1504" s="57"/>
      <c r="E1504" s="57"/>
    </row>
    <row r="1505" spans="1:5" ht="31.5" thickBot="1" x14ac:dyDescent="0.3">
      <c r="A1505" s="64">
        <v>39085</v>
      </c>
      <c r="B1505" s="28" t="s">
        <v>1395</v>
      </c>
      <c r="C1505" s="40">
        <v>6000</v>
      </c>
      <c r="D1505" s="57"/>
      <c r="E1505" s="57"/>
    </row>
    <row r="1506" spans="1:5" ht="124.15" customHeight="1" thickBot="1" x14ac:dyDescent="0.3">
      <c r="A1506" s="23">
        <v>39450</v>
      </c>
      <c r="B1506" s="65" t="s">
        <v>1396</v>
      </c>
      <c r="C1506" s="66">
        <v>6000</v>
      </c>
      <c r="D1506" s="57"/>
      <c r="E1506" s="57"/>
    </row>
    <row r="1507" spans="1:5" ht="16" thickBot="1" x14ac:dyDescent="0.3">
      <c r="A1507" s="64"/>
      <c r="B1507" s="28"/>
      <c r="C1507" s="40"/>
      <c r="D1507" s="57"/>
      <c r="E1507" s="57"/>
    </row>
    <row r="1508" spans="1:5" ht="31.5" thickBot="1" x14ac:dyDescent="0.3">
      <c r="A1508" s="64">
        <v>45691</v>
      </c>
      <c r="B1508" s="28" t="s">
        <v>983</v>
      </c>
      <c r="C1508" s="40"/>
      <c r="D1508" s="57"/>
      <c r="E1508" s="57"/>
    </row>
    <row r="1509" spans="1:5" ht="31" x14ac:dyDescent="0.25">
      <c r="A1509" s="32" t="s">
        <v>1397</v>
      </c>
      <c r="B1509" s="43"/>
      <c r="C1509" s="123"/>
      <c r="D1509" s="57"/>
      <c r="E1509" s="57"/>
    </row>
    <row r="1510" spans="1:5" ht="16" thickBot="1" x14ac:dyDescent="0.3">
      <c r="A1510" s="23" t="s">
        <v>1398</v>
      </c>
      <c r="B1510" s="28"/>
      <c r="C1510" s="124"/>
      <c r="D1510" s="57"/>
      <c r="E1510" s="57"/>
    </row>
    <row r="1511" spans="1:5" ht="16" thickBot="1" x14ac:dyDescent="0.3">
      <c r="A1511" s="64" t="s">
        <v>1399</v>
      </c>
      <c r="B1511" s="28"/>
      <c r="C1511" s="40"/>
      <c r="D1511" s="57"/>
      <c r="E1511" s="57"/>
    </row>
    <row r="1512" spans="1:5" ht="31.5" thickBot="1" x14ac:dyDescent="0.3">
      <c r="A1512" s="64" t="s">
        <v>1400</v>
      </c>
      <c r="B1512" s="28"/>
      <c r="C1512" s="40"/>
      <c r="D1512" s="57"/>
      <c r="E1512" s="57"/>
    </row>
    <row r="1513" spans="1:5" ht="31.5" thickBot="1" x14ac:dyDescent="0.3">
      <c r="A1513" s="64">
        <v>36925</v>
      </c>
      <c r="B1513" s="28" t="s">
        <v>1401</v>
      </c>
      <c r="C1513" s="40">
        <v>2000</v>
      </c>
      <c r="D1513" s="57"/>
      <c r="E1513" s="57"/>
    </row>
    <row r="1514" spans="1:5" ht="31.5" thickBot="1" x14ac:dyDescent="0.3">
      <c r="A1514" s="64">
        <v>37290</v>
      </c>
      <c r="B1514" s="28" t="s">
        <v>1402</v>
      </c>
      <c r="C1514" s="40">
        <v>4000</v>
      </c>
      <c r="D1514" s="57"/>
      <c r="E1514" s="57"/>
    </row>
    <row r="1515" spans="1:5" ht="41.5" customHeight="1" thickBot="1" x14ac:dyDescent="0.3">
      <c r="A1515" s="23">
        <v>37655</v>
      </c>
      <c r="B1515" s="65" t="s">
        <v>1403</v>
      </c>
      <c r="C1515" s="66">
        <v>5000</v>
      </c>
      <c r="D1515" s="57"/>
      <c r="E1515" s="57"/>
    </row>
    <row r="1516" spans="1:5" ht="31.5" thickBot="1" x14ac:dyDescent="0.3">
      <c r="A1516" s="64">
        <v>38020</v>
      </c>
      <c r="B1516" s="28" t="s">
        <v>1404</v>
      </c>
      <c r="C1516" s="40">
        <v>6000</v>
      </c>
      <c r="D1516" s="57"/>
      <c r="E1516" s="57"/>
    </row>
    <row r="1517" spans="1:5" ht="16" thickBot="1" x14ac:dyDescent="0.3">
      <c r="A1517" s="64"/>
      <c r="B1517" s="28" t="s">
        <v>1405</v>
      </c>
      <c r="C1517" s="40"/>
      <c r="D1517" s="57"/>
      <c r="E1517" s="57"/>
    </row>
    <row r="1518" spans="1:5" ht="69" customHeight="1" thickBot="1" x14ac:dyDescent="0.3">
      <c r="A1518" s="23">
        <v>38386</v>
      </c>
      <c r="B1518" s="65" t="e">
        <f>- po stabilizaci stavu</f>
        <v>#NAME?</v>
      </c>
      <c r="C1518" s="66">
        <v>4000</v>
      </c>
      <c r="D1518" s="57"/>
      <c r="E1518" s="57"/>
    </row>
    <row r="1519" spans="1:5" ht="16" thickBot="1" x14ac:dyDescent="0.3">
      <c r="A1519" s="64">
        <v>38751</v>
      </c>
      <c r="B1519" s="28" t="e">
        <f>- nevyléčitelné formy</f>
        <v>#NAME?</v>
      </c>
      <c r="C1519" s="40">
        <v>6000</v>
      </c>
      <c r="D1519" s="57"/>
      <c r="E1519" s="57"/>
    </row>
    <row r="1520" spans="1:5" ht="47" thickBot="1" x14ac:dyDescent="0.3">
      <c r="A1520" s="64"/>
      <c r="B1520" s="28" t="s">
        <v>1406</v>
      </c>
      <c r="C1520" s="40"/>
      <c r="D1520" s="57"/>
      <c r="E1520" s="57"/>
    </row>
    <row r="1521" spans="1:5" ht="55.15" customHeight="1" thickBot="1" x14ac:dyDescent="0.3">
      <c r="A1521" s="23">
        <v>39116</v>
      </c>
      <c r="B1521" s="65" t="e">
        <f>- po stabilizaci stavu</f>
        <v>#NAME?</v>
      </c>
      <c r="C1521" s="66">
        <v>4000</v>
      </c>
      <c r="D1521" s="57"/>
      <c r="E1521" s="57"/>
    </row>
    <row r="1522" spans="1:5" ht="16" thickBot="1" x14ac:dyDescent="0.3">
      <c r="A1522" s="64">
        <v>39481</v>
      </c>
      <c r="B1522" s="28" t="e">
        <f>- nevyléčitelné formy</f>
        <v>#NAME?</v>
      </c>
      <c r="C1522" s="40">
        <v>6000</v>
      </c>
      <c r="D1522" s="57"/>
      <c r="E1522" s="57"/>
    </row>
    <row r="1523" spans="1:5" ht="16" thickBot="1" x14ac:dyDescent="0.3">
      <c r="A1523" s="64"/>
      <c r="B1523" s="24"/>
      <c r="C1523" s="40"/>
      <c r="D1523" s="57"/>
      <c r="E1523" s="57"/>
    </row>
    <row r="1524" spans="1:5" ht="27.65" customHeight="1" thickBot="1" x14ac:dyDescent="0.3">
      <c r="A1524" s="23">
        <v>45719</v>
      </c>
      <c r="B1524" s="61" t="s">
        <v>990</v>
      </c>
      <c r="C1524" s="62"/>
      <c r="D1524" s="57"/>
      <c r="E1524" s="57"/>
    </row>
    <row r="1525" spans="1:5" ht="16" thickBot="1" x14ac:dyDescent="0.3">
      <c r="A1525" s="64">
        <v>36953</v>
      </c>
      <c r="B1525" s="28" t="s">
        <v>1407</v>
      </c>
      <c r="C1525" s="40"/>
      <c r="D1525" s="57"/>
      <c r="E1525" s="57"/>
    </row>
    <row r="1526" spans="1:5" ht="16" thickBot="1" x14ac:dyDescent="0.3">
      <c r="A1526" s="64">
        <v>37318</v>
      </c>
      <c r="B1526" s="28" t="e">
        <f>- s lehkou poruchou funkcí plicních</f>
        <v>#NAME?</v>
      </c>
      <c r="C1526" s="40">
        <v>2000</v>
      </c>
      <c r="D1526" s="57"/>
      <c r="E1526" s="57"/>
    </row>
    <row r="1527" spans="1:5" ht="16" thickBot="1" x14ac:dyDescent="0.3">
      <c r="A1527" s="64">
        <v>37683</v>
      </c>
      <c r="B1527" s="28" t="e">
        <f>- se středně těžkou poruchou</f>
        <v>#NAME?</v>
      </c>
      <c r="C1527" s="40">
        <v>4000</v>
      </c>
      <c r="D1527" s="57"/>
      <c r="E1527" s="57"/>
    </row>
    <row r="1528" spans="1:5" ht="16" thickBot="1" x14ac:dyDescent="0.3">
      <c r="A1528" s="64">
        <v>38049</v>
      </c>
      <c r="B1528" s="28" t="e">
        <f>- s těžkou poruchou</f>
        <v>#NAME?</v>
      </c>
      <c r="C1528" s="40">
        <v>5000</v>
      </c>
      <c r="D1528" s="57"/>
      <c r="E1528" s="57"/>
    </row>
    <row r="1529" spans="1:5" ht="69" customHeight="1" thickBot="1" x14ac:dyDescent="0.3">
      <c r="A1529" s="23">
        <v>38414</v>
      </c>
      <c r="B1529" s="65" t="e">
        <f>- s těžkou poruchou funkcí plicních vedoucí k pravostrannému srdečnímu selhávání</f>
        <v>#NAME?</v>
      </c>
      <c r="C1529" s="66">
        <v>6000</v>
      </c>
      <c r="D1529" s="57"/>
      <c r="E1529" s="57"/>
    </row>
    <row r="1530" spans="1:5" ht="151.9" customHeight="1" thickBot="1" x14ac:dyDescent="0.3">
      <c r="A1530" s="72"/>
      <c r="B1530" s="61"/>
      <c r="C1530" s="62"/>
      <c r="D1530" s="57"/>
      <c r="E1530" s="57"/>
    </row>
    <row r="1531" spans="1:5" ht="47" thickBot="1" x14ac:dyDescent="0.3">
      <c r="A1531" s="64">
        <v>45750</v>
      </c>
      <c r="B1531" s="28" t="s">
        <v>1408</v>
      </c>
      <c r="C1531" s="40"/>
      <c r="D1531" s="57"/>
      <c r="E1531" s="57"/>
    </row>
    <row r="1532" spans="1:5" ht="31.5" thickBot="1" x14ac:dyDescent="0.3">
      <c r="A1532" s="64">
        <v>36984</v>
      </c>
      <c r="B1532" s="28" t="s">
        <v>1409</v>
      </c>
      <c r="C1532" s="40">
        <v>1600</v>
      </c>
      <c r="D1532" s="57"/>
      <c r="E1532" s="57"/>
    </row>
    <row r="1533" spans="1:5" ht="31.5" thickBot="1" x14ac:dyDescent="0.3">
      <c r="A1533" s="64">
        <v>37349</v>
      </c>
      <c r="B1533" s="28" t="s">
        <v>1410</v>
      </c>
      <c r="C1533" s="40">
        <v>3000</v>
      </c>
      <c r="D1533" s="57"/>
      <c r="E1533" s="57"/>
    </row>
    <row r="1534" spans="1:5" ht="16" thickBot="1" x14ac:dyDescent="0.3">
      <c r="A1534" s="64"/>
      <c r="B1534" s="28"/>
      <c r="C1534" s="40"/>
      <c r="D1534" s="57"/>
      <c r="E1534" s="57"/>
    </row>
    <row r="1535" spans="1:5" ht="78" thickBot="1" x14ac:dyDescent="0.3">
      <c r="A1535" s="64">
        <v>45780</v>
      </c>
      <c r="B1535" s="28" t="s">
        <v>1411</v>
      </c>
      <c r="C1535" s="40"/>
      <c r="D1535" s="57"/>
      <c r="E1535" s="57"/>
    </row>
    <row r="1536" spans="1:5" ht="16" thickBot="1" x14ac:dyDescent="0.3">
      <c r="A1536" s="23">
        <v>37014</v>
      </c>
      <c r="B1536" s="24" t="e">
        <f>- s lehkou poruchou plicních funkcí</f>
        <v>#NAME?</v>
      </c>
      <c r="C1536" s="63">
        <v>2000</v>
      </c>
      <c r="D1536" s="57"/>
      <c r="E1536" s="57"/>
    </row>
    <row r="1537" spans="1:5" ht="16" thickBot="1" x14ac:dyDescent="0.3">
      <c r="A1537" s="64">
        <v>37379</v>
      </c>
      <c r="B1537" s="28" t="e">
        <f>- se středně těžkou poruchou plicních funkcí</f>
        <v>#NAME?</v>
      </c>
      <c r="C1537" s="40">
        <v>2400</v>
      </c>
      <c r="D1537" s="57"/>
      <c r="E1537" s="57"/>
    </row>
    <row r="1538" spans="1:5" ht="16" thickBot="1" x14ac:dyDescent="0.3">
      <c r="A1538" s="64">
        <v>37744</v>
      </c>
      <c r="B1538" s="28" t="e">
        <f>- s těžkou poruchou plicních funkcí</f>
        <v>#NAME?</v>
      </c>
      <c r="C1538" s="40">
        <v>4000</v>
      </c>
      <c r="D1538" s="57"/>
      <c r="E1538" s="57"/>
    </row>
    <row r="1539" spans="1:5" ht="16" thickBot="1" x14ac:dyDescent="0.3">
      <c r="A1539" s="64">
        <v>38110</v>
      </c>
      <c r="B1539" s="28" t="e">
        <f>- se zvlášť těžkou poruchou plicních funkcí vedoucí k pravostrannému srdečnímu selhávání na úrovni NYHA IV</f>
        <v>#NAME?</v>
      </c>
      <c r="C1539" s="40">
        <v>6000</v>
      </c>
      <c r="D1539" s="57"/>
      <c r="E1539" s="57"/>
    </row>
    <row r="1540" spans="1:5" ht="16" thickBot="1" x14ac:dyDescent="0.3">
      <c r="A1540" s="64"/>
      <c r="B1540" s="28"/>
      <c r="C1540" s="40"/>
      <c r="D1540" s="57"/>
      <c r="E1540" s="57"/>
    </row>
    <row r="1541" spans="1:5" ht="220.9" customHeight="1" thickBot="1" x14ac:dyDescent="0.3">
      <c r="A1541" s="23">
        <v>45811</v>
      </c>
      <c r="B1541" s="65" t="s">
        <v>993</v>
      </c>
      <c r="C1541" s="66"/>
      <c r="D1541" s="57"/>
      <c r="E1541" s="57"/>
    </row>
    <row r="1542" spans="1:5" ht="16" thickBot="1" x14ac:dyDescent="0.3">
      <c r="A1542" s="64">
        <v>37045</v>
      </c>
      <c r="B1542" s="28" t="s">
        <v>1412</v>
      </c>
      <c r="C1542" s="40">
        <v>4000</v>
      </c>
      <c r="D1542" s="57"/>
      <c r="E1542" s="57"/>
    </row>
    <row r="1543" spans="1:5" ht="16" thickBot="1" x14ac:dyDescent="0.3">
      <c r="A1543" s="64">
        <v>37410</v>
      </c>
      <c r="B1543" s="28" t="s">
        <v>1413</v>
      </c>
      <c r="C1543" s="40">
        <v>6000</v>
      </c>
      <c r="D1543" s="57"/>
      <c r="E1543" s="57"/>
    </row>
    <row r="1544" spans="1:5" ht="41.5" customHeight="1" thickBot="1" x14ac:dyDescent="0.3">
      <c r="A1544" s="41"/>
      <c r="B1544" s="65"/>
      <c r="C1544" s="66"/>
      <c r="D1544" s="57"/>
      <c r="E1544" s="57"/>
    </row>
    <row r="1545" spans="1:5" ht="31.5" thickBot="1" x14ac:dyDescent="0.3">
      <c r="A1545" s="23">
        <v>45841</v>
      </c>
      <c r="B1545" s="28" t="s">
        <v>994</v>
      </c>
      <c r="C1545" s="40"/>
      <c r="D1545" s="57"/>
      <c r="E1545" s="57"/>
    </row>
    <row r="1546" spans="1:5" ht="16" thickBot="1" x14ac:dyDescent="0.3">
      <c r="A1546" s="64">
        <v>37075</v>
      </c>
      <c r="B1546" s="28" t="s">
        <v>1412</v>
      </c>
      <c r="C1546" s="40">
        <v>4000</v>
      </c>
      <c r="D1546" s="57"/>
      <c r="E1546" s="57"/>
    </row>
    <row r="1547" spans="1:5" ht="27.65" customHeight="1" thickBot="1" x14ac:dyDescent="0.3">
      <c r="A1547" s="125">
        <v>37440</v>
      </c>
      <c r="B1547" s="126" t="s">
        <v>1413</v>
      </c>
      <c r="C1547" s="66">
        <v>6000</v>
      </c>
      <c r="D1547" s="57"/>
      <c r="E1547" s="57"/>
    </row>
    <row r="1548" spans="1:5" ht="16" thickBot="1" x14ac:dyDescent="0.3">
      <c r="A1548" s="23"/>
      <c r="B1548" s="24"/>
      <c r="C1548" s="63"/>
      <c r="D1548" s="57"/>
      <c r="E1548" s="57"/>
    </row>
    <row r="1549" spans="1:5" ht="16" thickBot="1" x14ac:dyDescent="0.3">
      <c r="A1549" s="64">
        <v>45872</v>
      </c>
      <c r="B1549" s="28" t="s">
        <v>995</v>
      </c>
      <c r="C1549" s="40"/>
      <c r="D1549" s="57"/>
      <c r="E1549" s="57"/>
    </row>
    <row r="1550" spans="1:5" ht="16" thickBot="1" x14ac:dyDescent="0.3">
      <c r="A1550" s="64">
        <v>37106</v>
      </c>
      <c r="B1550" s="28" t="s">
        <v>1412</v>
      </c>
      <c r="C1550" s="40">
        <v>4000</v>
      </c>
      <c r="D1550" s="57"/>
      <c r="E1550" s="57"/>
    </row>
    <row r="1551" spans="1:5" ht="16" thickBot="1" x14ac:dyDescent="0.3">
      <c r="A1551" s="64">
        <v>37471</v>
      </c>
      <c r="B1551" s="28" t="s">
        <v>1413</v>
      </c>
      <c r="C1551" s="40">
        <v>6000</v>
      </c>
      <c r="D1551" s="57"/>
      <c r="E1551" s="57"/>
    </row>
    <row r="1552" spans="1:5" ht="16" thickBot="1" x14ac:dyDescent="0.3">
      <c r="A1552" s="64"/>
      <c r="B1552" s="28"/>
      <c r="C1552" s="40"/>
      <c r="D1552" s="57"/>
      <c r="E1552" s="57"/>
    </row>
    <row r="1553" spans="1:5" ht="16" thickBot="1" x14ac:dyDescent="0.3">
      <c r="A1553" s="72">
        <v>45903</v>
      </c>
      <c r="B1553" s="24" t="s">
        <v>996</v>
      </c>
      <c r="C1553" s="63"/>
      <c r="D1553" s="57"/>
      <c r="E1553" s="57"/>
    </row>
    <row r="1554" spans="1:5" ht="16" thickBot="1" x14ac:dyDescent="0.3">
      <c r="A1554" s="64">
        <v>37137</v>
      </c>
      <c r="B1554" s="28" t="e">
        <f>- s mírnou poruchou funkcí plicních</f>
        <v>#NAME?</v>
      </c>
      <c r="C1554" s="40">
        <v>2000</v>
      </c>
      <c r="D1554" s="57"/>
      <c r="E1554" s="57"/>
    </row>
    <row r="1555" spans="1:5" ht="16" thickBot="1" x14ac:dyDescent="0.3">
      <c r="A1555" s="64">
        <v>37502</v>
      </c>
      <c r="B1555" s="28" t="e">
        <f>- se středně těžkou poruchou</f>
        <v>#NAME?</v>
      </c>
      <c r="C1555" s="40">
        <v>4000</v>
      </c>
      <c r="D1555" s="57"/>
      <c r="E1555" s="57"/>
    </row>
    <row r="1556" spans="1:5" ht="41.5" customHeight="1" thickBot="1" x14ac:dyDescent="0.3">
      <c r="A1556" s="125">
        <v>37867</v>
      </c>
      <c r="B1556" s="126" t="e">
        <f>- s těžkou poruchou</f>
        <v>#NAME?</v>
      </c>
      <c r="C1556" s="66">
        <v>5000</v>
      </c>
      <c r="D1556" s="57"/>
      <c r="E1556" s="57"/>
    </row>
    <row r="1557" spans="1:5" ht="16" thickBot="1" x14ac:dyDescent="0.3">
      <c r="A1557" s="23">
        <v>38233</v>
      </c>
      <c r="B1557" s="24" t="e">
        <f>- s těžkou poruchou funkcí plicních vedoucí k pravostrannému srdečnímu selhávání na úrovni NYHA IV</f>
        <v>#NAME?</v>
      </c>
      <c r="C1557" s="63">
        <v>6000</v>
      </c>
      <c r="D1557" s="57"/>
      <c r="E1557" s="57"/>
    </row>
    <row r="1558" spans="1:5" ht="16" thickBot="1" x14ac:dyDescent="0.3">
      <c r="A1558" s="64"/>
      <c r="B1558" s="28"/>
      <c r="C1558" s="63"/>
      <c r="D1558" s="57"/>
      <c r="E1558" s="57"/>
    </row>
    <row r="1559" spans="1:5" ht="31.5" thickBot="1" x14ac:dyDescent="0.3">
      <c r="A1559" s="64">
        <v>45933</v>
      </c>
      <c r="B1559" s="28" t="s">
        <v>997</v>
      </c>
      <c r="C1559" s="40"/>
      <c r="D1559" s="57"/>
      <c r="E1559" s="57"/>
    </row>
    <row r="1560" spans="1:5" ht="47" thickBot="1" x14ac:dyDescent="0.3">
      <c r="A1560" s="64"/>
      <c r="B1560" s="28" t="s">
        <v>1414</v>
      </c>
      <c r="C1560" s="40"/>
      <c r="D1560" s="57"/>
      <c r="E1560" s="57"/>
    </row>
    <row r="1561" spans="1:5" ht="16" thickBot="1" x14ac:dyDescent="0.3">
      <c r="A1561" s="64">
        <v>37167</v>
      </c>
      <c r="B1561" s="28" t="e">
        <f>- astma bronchiale lehkého stupně onemocnění nevyžaduje léčbu kortikosteroidy</f>
        <v>#NAME?</v>
      </c>
      <c r="C1561" s="40">
        <v>1800</v>
      </c>
      <c r="D1561" s="57"/>
      <c r="E1561" s="57"/>
    </row>
    <row r="1562" spans="1:5" ht="31.5" thickBot="1" x14ac:dyDescent="0.3">
      <c r="A1562" s="64">
        <v>37532</v>
      </c>
      <c r="B1562" s="28" t="s">
        <v>1415</v>
      </c>
      <c r="C1562" s="40">
        <v>3200</v>
      </c>
      <c r="D1562" s="57"/>
      <c r="E1562" s="57"/>
    </row>
    <row r="1563" spans="1:5" ht="62.5" thickBot="1" x14ac:dyDescent="0.3">
      <c r="A1563" s="23">
        <v>37897</v>
      </c>
      <c r="B1563" s="24" t="s">
        <v>1416</v>
      </c>
      <c r="C1563" s="63">
        <v>5000</v>
      </c>
      <c r="D1563" s="57"/>
      <c r="E1563" s="57"/>
    </row>
    <row r="1564" spans="1:5" ht="31.5" thickBot="1" x14ac:dyDescent="0.3">
      <c r="A1564" s="64">
        <v>38263</v>
      </c>
      <c r="B1564" s="28" t="s">
        <v>1417</v>
      </c>
      <c r="C1564" s="63">
        <v>6000</v>
      </c>
      <c r="D1564" s="57"/>
      <c r="E1564" s="57"/>
    </row>
    <row r="1565" spans="1:5" ht="47" thickBot="1" x14ac:dyDescent="0.3">
      <c r="A1565" s="64">
        <v>38628</v>
      </c>
      <c r="B1565" s="28" t="s">
        <v>1418</v>
      </c>
      <c r="C1565" s="40" t="s">
        <v>910</v>
      </c>
      <c r="D1565" s="57"/>
      <c r="E1565" s="57"/>
    </row>
    <row r="1566" spans="1:5" ht="16" thickBot="1" x14ac:dyDescent="0.3">
      <c r="A1566" s="64"/>
      <c r="B1566" s="28"/>
      <c r="C1566" s="40"/>
      <c r="D1566" s="57"/>
      <c r="E1566" s="57"/>
    </row>
    <row r="1567" spans="1:5" ht="31.5" thickBot="1" x14ac:dyDescent="0.3">
      <c r="A1567" s="64">
        <v>45964</v>
      </c>
      <c r="B1567" s="28" t="s">
        <v>1419</v>
      </c>
      <c r="C1567" s="40"/>
      <c r="D1567" s="57"/>
      <c r="E1567" s="57"/>
    </row>
    <row r="1568" spans="1:5" ht="16" thickBot="1" x14ac:dyDescent="0.3">
      <c r="A1568" s="64">
        <v>37198</v>
      </c>
      <c r="B1568" s="28" t="e">
        <f>- s lehkou poruchou plicních funkcí</f>
        <v>#NAME?</v>
      </c>
      <c r="C1568" s="40">
        <v>2000</v>
      </c>
      <c r="D1568" s="57"/>
      <c r="E1568" s="57"/>
    </row>
    <row r="1569" spans="1:5" ht="16" thickBot="1" x14ac:dyDescent="0.3">
      <c r="A1569" s="23">
        <v>37563</v>
      </c>
      <c r="B1569" s="24" t="e">
        <f>- se středně těžkou poruchou plicních funkcí</f>
        <v>#NAME?</v>
      </c>
      <c r="C1569" s="63">
        <v>2400</v>
      </c>
      <c r="D1569" s="57"/>
      <c r="E1569" s="57"/>
    </row>
    <row r="1570" spans="1:5" ht="16" thickBot="1" x14ac:dyDescent="0.3">
      <c r="A1570" s="64">
        <v>37928</v>
      </c>
      <c r="B1570" s="28" t="e">
        <f>- s těžkou poruchou plicních funkcí</f>
        <v>#NAME?</v>
      </c>
      <c r="C1570" s="63">
        <v>4000</v>
      </c>
      <c r="D1570" s="57"/>
      <c r="E1570" s="57"/>
    </row>
    <row r="1571" spans="1:5" ht="16" thickBot="1" x14ac:dyDescent="0.3">
      <c r="A1571" s="64">
        <v>38294</v>
      </c>
      <c r="B1571" s="28" t="e">
        <f>- se zvlášť těžkou poruchou plicních funkcí vedoucí k pravostrannému srdečnímu selhávání na úrovni NYHA IV</f>
        <v>#NAME?</v>
      </c>
      <c r="C1571" s="40">
        <v>6000</v>
      </c>
      <c r="D1571" s="57"/>
      <c r="E1571" s="57"/>
    </row>
    <row r="1572" spans="1:5" ht="16" thickBot="1" x14ac:dyDescent="0.3">
      <c r="A1572" s="64"/>
      <c r="B1572" s="28"/>
      <c r="C1572" s="40"/>
      <c r="D1572" s="57"/>
      <c r="E1572" s="57"/>
    </row>
    <row r="1573" spans="1:5" ht="62.5" thickBot="1" x14ac:dyDescent="0.3">
      <c r="A1573" s="64">
        <v>45994</v>
      </c>
      <c r="B1573" s="28" t="s">
        <v>1005</v>
      </c>
      <c r="C1573" s="40"/>
      <c r="D1573" s="57"/>
      <c r="E1573" s="57"/>
    </row>
    <row r="1574" spans="1:5" ht="16" thickBot="1" x14ac:dyDescent="0.3">
      <c r="A1574" s="64">
        <v>37228</v>
      </c>
      <c r="B1574" s="28" t="s">
        <v>1412</v>
      </c>
      <c r="C1574" s="40">
        <v>4000</v>
      </c>
      <c r="D1574" s="57"/>
      <c r="E1574" s="57"/>
    </row>
    <row r="1575" spans="1:5" ht="16" thickBot="1" x14ac:dyDescent="0.3">
      <c r="A1575" s="23">
        <v>37593</v>
      </c>
      <c r="B1575" s="24" t="s">
        <v>1413</v>
      </c>
      <c r="C1575" s="63">
        <v>6000</v>
      </c>
      <c r="D1575" s="57"/>
      <c r="E1575" s="57"/>
    </row>
    <row r="1576" spans="1:5" ht="16" thickBot="1" x14ac:dyDescent="0.3">
      <c r="A1576" s="64"/>
      <c r="B1576" s="28"/>
      <c r="C1576" s="40"/>
      <c r="D1576" s="57"/>
      <c r="E1576" s="57"/>
    </row>
    <row r="1577" spans="1:5" ht="16" thickBot="1" x14ac:dyDescent="0.3">
      <c r="A1577" s="64">
        <v>41334</v>
      </c>
      <c r="B1577" s="28" t="s">
        <v>1420</v>
      </c>
      <c r="C1577" s="40"/>
      <c r="D1577" s="57"/>
      <c r="E1577" s="57"/>
    </row>
    <row r="1578" spans="1:5" ht="31.5" thickBot="1" x14ac:dyDescent="0.3">
      <c r="A1578" s="64" t="s">
        <v>1007</v>
      </c>
      <c r="B1578" s="28" t="s">
        <v>1421</v>
      </c>
      <c r="C1578" s="40">
        <v>4000</v>
      </c>
      <c r="D1578" s="57"/>
      <c r="E1578" s="57"/>
    </row>
    <row r="1579" spans="1:5" ht="47" thickBot="1" x14ac:dyDescent="0.3">
      <c r="A1579" s="64" t="s">
        <v>1009</v>
      </c>
      <c r="B1579" s="28" t="s">
        <v>1422</v>
      </c>
      <c r="C1579" s="40">
        <v>6000</v>
      </c>
      <c r="D1579" s="57"/>
      <c r="E1579" s="57"/>
    </row>
    <row r="1580" spans="1:5" ht="16" thickBot="1" x14ac:dyDescent="0.3">
      <c r="A1580" s="64"/>
      <c r="B1580" s="28"/>
      <c r="C1580" s="40"/>
      <c r="D1580" s="57"/>
      <c r="E1580" s="57"/>
    </row>
    <row r="1581" spans="1:5" ht="16" thickBot="1" x14ac:dyDescent="0.3">
      <c r="A1581" s="64" t="s">
        <v>1013</v>
      </c>
      <c r="B1581" s="28"/>
      <c r="C1581" s="40"/>
      <c r="D1581" s="57"/>
      <c r="E1581" s="57"/>
    </row>
    <row r="1582" spans="1:5" ht="82.9" customHeight="1" thickBot="1" x14ac:dyDescent="0.3">
      <c r="A1582" s="125">
        <v>45661</v>
      </c>
      <c r="B1582" s="127" t="s">
        <v>1014</v>
      </c>
      <c r="C1582" s="63"/>
      <c r="D1582" s="57"/>
      <c r="E1582" s="57"/>
    </row>
    <row r="1583" spans="1:5" ht="31.5" thickBot="1" x14ac:dyDescent="0.3">
      <c r="A1583" s="23">
        <v>36895</v>
      </c>
      <c r="B1583" s="24" t="s">
        <v>1423</v>
      </c>
      <c r="C1583" s="63" t="s">
        <v>1424</v>
      </c>
      <c r="D1583" s="57"/>
      <c r="E1583" s="57"/>
    </row>
    <row r="1584" spans="1:5" ht="31.5" thickBot="1" x14ac:dyDescent="0.3">
      <c r="A1584" s="64">
        <v>37260</v>
      </c>
      <c r="B1584" s="28" t="s">
        <v>1425</v>
      </c>
      <c r="C1584" s="40" t="s">
        <v>1333</v>
      </c>
      <c r="D1584" s="57"/>
      <c r="E1584" s="57"/>
    </row>
    <row r="1585" spans="1:5" ht="31.5" thickBot="1" x14ac:dyDescent="0.3">
      <c r="A1585" s="64">
        <v>37625</v>
      </c>
      <c r="B1585" s="28" t="s">
        <v>1426</v>
      </c>
      <c r="C1585" s="40" t="s">
        <v>1427</v>
      </c>
      <c r="D1585" s="57"/>
      <c r="E1585" s="57"/>
    </row>
    <row r="1586" spans="1:5" ht="15.5" x14ac:dyDescent="0.35">
      <c r="A1586" s="128">
        <v>37990</v>
      </c>
      <c r="B1586" s="56" t="s">
        <v>1428</v>
      </c>
      <c r="C1586" s="57">
        <v>4000</v>
      </c>
      <c r="D1586" s="57"/>
      <c r="E1586" s="57"/>
    </row>
    <row r="1587" spans="1:5" ht="18.5" x14ac:dyDescent="0.35">
      <c r="A1587" s="129"/>
      <c r="B1587" s="56"/>
      <c r="C1587" s="57"/>
      <c r="D1587" s="57"/>
      <c r="E1587" s="57"/>
    </row>
    <row r="1588" spans="1:5" ht="18.5" x14ac:dyDescent="0.35">
      <c r="A1588" s="130"/>
      <c r="B1588" s="56" t="s">
        <v>1324</v>
      </c>
      <c r="C1588" s="57"/>
      <c r="D1588" s="57"/>
      <c r="E1588" s="57"/>
    </row>
    <row r="1589" spans="1:5" ht="31" x14ac:dyDescent="0.35">
      <c r="A1589" s="129">
        <v>38356</v>
      </c>
      <c r="B1589" s="56" t="s">
        <v>1429</v>
      </c>
      <c r="C1589" s="57">
        <v>1600</v>
      </c>
      <c r="D1589" s="57"/>
      <c r="E1589" s="57"/>
    </row>
    <row r="1590" spans="1:5" ht="15.5" x14ac:dyDescent="0.35">
      <c r="A1590" s="128">
        <v>38721</v>
      </c>
      <c r="B1590" s="56" t="s">
        <v>1326</v>
      </c>
      <c r="C1590" s="57">
        <v>6000</v>
      </c>
      <c r="D1590" s="57"/>
      <c r="E1590" s="57"/>
    </row>
    <row r="1591" spans="1:5" ht="15.5" x14ac:dyDescent="0.35">
      <c r="A1591" s="15"/>
      <c r="B1591" s="56"/>
      <c r="C1591" s="57"/>
      <c r="D1591" s="57"/>
      <c r="E1591" s="57"/>
    </row>
    <row r="1592" spans="1:5" ht="15.5" x14ac:dyDescent="0.35">
      <c r="A1592" s="131" t="s">
        <v>1019</v>
      </c>
      <c r="B1592" s="5"/>
    </row>
    <row r="1593" spans="1:5" ht="15.5" x14ac:dyDescent="0.35">
      <c r="A1593" s="131">
        <v>45662</v>
      </c>
      <c r="B1593" s="5" t="s">
        <v>1430</v>
      </c>
    </row>
    <row r="1594" spans="1:5" ht="15.5" x14ac:dyDescent="0.35">
      <c r="A1594" s="15">
        <v>36896</v>
      </c>
      <c r="B1594" s="5" t="s">
        <v>1431</v>
      </c>
    </row>
    <row r="1595" spans="1:5" ht="15.5" x14ac:dyDescent="0.35">
      <c r="A1595" s="131">
        <v>37261</v>
      </c>
      <c r="B1595" s="5" t="s">
        <v>1432</v>
      </c>
      <c r="C1595" s="2" t="s">
        <v>1433</v>
      </c>
    </row>
    <row r="1596" spans="1:5" ht="15.5" x14ac:dyDescent="0.35">
      <c r="A1596" s="131">
        <v>37626</v>
      </c>
      <c r="B1596" s="5" t="s">
        <v>1434</v>
      </c>
      <c r="C1596" s="2" t="s">
        <v>1435</v>
      </c>
    </row>
    <row r="1597" spans="1:5" ht="15.5" x14ac:dyDescent="0.35">
      <c r="A1597" s="131">
        <v>37991</v>
      </c>
      <c r="B1597" s="5" t="s">
        <v>1436</v>
      </c>
      <c r="C1597" s="2">
        <v>4000</v>
      </c>
    </row>
    <row r="1598" spans="1:5" ht="15.5" x14ac:dyDescent="0.35">
      <c r="A1598" s="131">
        <v>38357</v>
      </c>
      <c r="B1598" s="5" t="s">
        <v>1437</v>
      </c>
      <c r="C1598" s="2">
        <v>6000</v>
      </c>
    </row>
    <row r="1599" spans="1:5" ht="15.5" x14ac:dyDescent="0.35">
      <c r="A1599" s="15">
        <v>45693</v>
      </c>
      <c r="B1599" s="5" t="s">
        <v>1438</v>
      </c>
    </row>
    <row r="1600" spans="1:5" ht="15.5" x14ac:dyDescent="0.35">
      <c r="A1600" s="131">
        <v>36927</v>
      </c>
      <c r="B1600" s="5" t="s">
        <v>1431</v>
      </c>
    </row>
    <row r="1601" spans="1:3" ht="15.5" x14ac:dyDescent="0.35">
      <c r="A1601" s="131">
        <v>37292</v>
      </c>
      <c r="B1601" s="5" t="s">
        <v>1432</v>
      </c>
      <c r="C1601" s="2" t="s">
        <v>1433</v>
      </c>
    </row>
    <row r="1602" spans="1:3" ht="15.5" x14ac:dyDescent="0.35">
      <c r="A1602" s="131">
        <v>37657</v>
      </c>
      <c r="B1602" s="5" t="s">
        <v>1434</v>
      </c>
      <c r="C1602" s="2" t="s">
        <v>1435</v>
      </c>
    </row>
    <row r="1603" spans="1:3" ht="15.5" x14ac:dyDescent="0.35">
      <c r="A1603" s="131">
        <v>38022</v>
      </c>
      <c r="B1603" s="5" t="s">
        <v>1436</v>
      </c>
      <c r="C1603" s="2">
        <v>4000</v>
      </c>
    </row>
    <row r="1604" spans="1:3" ht="15.5" x14ac:dyDescent="0.35">
      <c r="A1604" s="131">
        <v>38388</v>
      </c>
      <c r="B1604" s="5" t="s">
        <v>1437</v>
      </c>
      <c r="C1604" s="2">
        <v>6000</v>
      </c>
    </row>
    <row r="1605" spans="1:3" ht="15.5" x14ac:dyDescent="0.35">
      <c r="A1605" s="131">
        <v>45721</v>
      </c>
      <c r="B1605" s="5" t="s">
        <v>1439</v>
      </c>
    </row>
    <row r="1606" spans="1:3" ht="15.5" x14ac:dyDescent="0.35">
      <c r="A1606" s="15">
        <v>36955</v>
      </c>
      <c r="B1606" s="5" t="s">
        <v>1431</v>
      </c>
    </row>
    <row r="1607" spans="1:3" ht="15.5" x14ac:dyDescent="0.35">
      <c r="A1607" s="131">
        <v>37320</v>
      </c>
      <c r="B1607" s="5" t="s">
        <v>1432</v>
      </c>
      <c r="C1607" s="2" t="s">
        <v>1433</v>
      </c>
    </row>
    <row r="1608" spans="1:3" ht="15.5" x14ac:dyDescent="0.35">
      <c r="A1608" s="131">
        <v>37685</v>
      </c>
      <c r="B1608" s="5" t="s">
        <v>1434</v>
      </c>
      <c r="C1608" s="2" t="s">
        <v>1435</v>
      </c>
    </row>
    <row r="1609" spans="1:3" ht="15.5" x14ac:dyDescent="0.35">
      <c r="A1609" s="131">
        <v>38051</v>
      </c>
      <c r="B1609" s="5" t="s">
        <v>1436</v>
      </c>
      <c r="C1609" s="2">
        <v>4000</v>
      </c>
    </row>
    <row r="1610" spans="1:3" ht="15.5" x14ac:dyDescent="0.35">
      <c r="A1610" s="131">
        <v>38416</v>
      </c>
      <c r="B1610" s="5" t="s">
        <v>1437</v>
      </c>
      <c r="C1610" s="2">
        <v>6000</v>
      </c>
    </row>
    <row r="1611" spans="1:3" ht="15.5" x14ac:dyDescent="0.35">
      <c r="A1611" s="15"/>
      <c r="B1611" s="5"/>
    </row>
    <row r="1612" spans="1:3" ht="15.5" x14ac:dyDescent="0.35">
      <c r="A1612" s="131">
        <v>45752</v>
      </c>
      <c r="B1612" s="5" t="s">
        <v>1440</v>
      </c>
    </row>
    <row r="1613" spans="1:3" ht="15.5" x14ac:dyDescent="0.35">
      <c r="A1613" s="131">
        <v>36986</v>
      </c>
      <c r="B1613" s="5" t="s">
        <v>1441</v>
      </c>
      <c r="C1613" s="2">
        <v>800</v>
      </c>
    </row>
    <row r="1614" spans="1:3" ht="15.5" x14ac:dyDescent="0.35">
      <c r="A1614" s="132">
        <v>37351</v>
      </c>
      <c r="B1614" s="5" t="s">
        <v>1442</v>
      </c>
      <c r="C1614" s="2">
        <v>1600</v>
      </c>
    </row>
    <row r="1615" spans="1:3" ht="15.5" x14ac:dyDescent="0.35">
      <c r="A1615" s="131">
        <v>37716</v>
      </c>
      <c r="B1615" s="5" t="s">
        <v>1443</v>
      </c>
      <c r="C1615" s="2">
        <v>3000</v>
      </c>
    </row>
    <row r="1616" spans="1:3" ht="15.5" x14ac:dyDescent="0.35">
      <c r="A1616" s="131">
        <v>38082</v>
      </c>
      <c r="B1616" s="5" t="s">
        <v>1444</v>
      </c>
      <c r="C1616" s="2">
        <v>4000</v>
      </c>
    </row>
    <row r="1617" spans="1:3" ht="15.5" x14ac:dyDescent="0.35">
      <c r="A1617" s="131">
        <v>38447</v>
      </c>
      <c r="B1617" s="5" t="s">
        <v>1445</v>
      </c>
      <c r="C1617" s="2">
        <v>6000</v>
      </c>
    </row>
    <row r="1618" spans="1:3" ht="15.5" x14ac:dyDescent="0.35">
      <c r="A1618" s="15">
        <v>38812</v>
      </c>
      <c r="B1618" s="5" t="s">
        <v>1446</v>
      </c>
      <c r="C1618" s="2">
        <v>6000</v>
      </c>
    </row>
    <row r="1619" spans="1:3" ht="15.5" x14ac:dyDescent="0.35">
      <c r="A1619" s="131"/>
      <c r="B1619" s="5"/>
    </row>
    <row r="1620" spans="1:3" ht="15.5" x14ac:dyDescent="0.35">
      <c r="A1620" s="131" t="s">
        <v>1447</v>
      </c>
      <c r="B1620" s="5"/>
    </row>
    <row r="1621" spans="1:3" ht="15.5" x14ac:dyDescent="0.35">
      <c r="A1621" s="131">
        <v>45663</v>
      </c>
      <c r="B1621" s="5" t="s">
        <v>1448</v>
      </c>
    </row>
    <row r="1622" spans="1:3" ht="15.5" x14ac:dyDescent="0.35">
      <c r="A1622" s="131">
        <v>36897</v>
      </c>
      <c r="B1622" s="5" t="s">
        <v>1449</v>
      </c>
      <c r="C1622" s="2">
        <v>1200</v>
      </c>
    </row>
    <row r="1623" spans="1:3" ht="15.5" x14ac:dyDescent="0.35">
      <c r="A1623" s="131">
        <v>37262</v>
      </c>
      <c r="B1623" s="5" t="s">
        <v>1450</v>
      </c>
      <c r="C1623" s="2">
        <v>2000</v>
      </c>
    </row>
    <row r="1624" spans="1:3" ht="15.5" x14ac:dyDescent="0.35">
      <c r="A1624" s="131" t="s">
        <v>1451</v>
      </c>
      <c r="B1624" s="5"/>
    </row>
    <row r="1625" spans="1:3" ht="15.5" x14ac:dyDescent="0.35">
      <c r="A1625" s="131" t="s">
        <v>1452</v>
      </c>
      <c r="B1625" s="5"/>
    </row>
    <row r="1626" spans="1:3" ht="15.5" x14ac:dyDescent="0.35">
      <c r="A1626" s="9" t="s">
        <v>1453</v>
      </c>
      <c r="B1626" s="5"/>
    </row>
    <row r="1627" spans="1:3" ht="15.5" x14ac:dyDescent="0.35">
      <c r="A1627" s="15" t="s">
        <v>1454</v>
      </c>
      <c r="B1627" s="5"/>
    </row>
    <row r="1628" spans="1:3" ht="15.5" x14ac:dyDescent="0.35">
      <c r="A1628" s="131">
        <v>36896</v>
      </c>
      <c r="B1628" s="5" t="s">
        <v>1431</v>
      </c>
    </row>
    <row r="1629" spans="1:3" ht="15.5" x14ac:dyDescent="0.35">
      <c r="A1629" s="131">
        <v>37261</v>
      </c>
      <c r="B1629" s="5" t="s">
        <v>1432</v>
      </c>
      <c r="C1629" s="2" t="s">
        <v>1138</v>
      </c>
    </row>
    <row r="1630" spans="1:3" ht="15.5" x14ac:dyDescent="0.35">
      <c r="A1630" s="131">
        <v>37626</v>
      </c>
      <c r="B1630" s="5" t="s">
        <v>1434</v>
      </c>
      <c r="C1630" s="2" t="s">
        <v>1435</v>
      </c>
    </row>
    <row r="1631" spans="1:3" ht="15.5" x14ac:dyDescent="0.35">
      <c r="A1631" s="131">
        <v>37991</v>
      </c>
      <c r="B1631" s="5" t="s">
        <v>1436</v>
      </c>
      <c r="C1631" s="2">
        <v>4000</v>
      </c>
    </row>
    <row r="1632" spans="1:3" ht="15.5" x14ac:dyDescent="0.35">
      <c r="A1632" s="131">
        <v>38357</v>
      </c>
      <c r="B1632" s="5" t="s">
        <v>1437</v>
      </c>
      <c r="C1632" s="2">
        <v>6000</v>
      </c>
    </row>
    <row r="1633" spans="1:3" ht="15.5" x14ac:dyDescent="0.35">
      <c r="A1633" s="15">
        <v>43866</v>
      </c>
      <c r="B1633" s="5" t="s">
        <v>1455</v>
      </c>
    </row>
    <row r="1634" spans="1:3" ht="15.5" x14ac:dyDescent="0.35">
      <c r="A1634" s="131">
        <v>36927</v>
      </c>
      <c r="B1634" s="5" t="s">
        <v>1431</v>
      </c>
    </row>
    <row r="1635" spans="1:3" ht="15.5" x14ac:dyDescent="0.35">
      <c r="A1635" s="131">
        <v>37292</v>
      </c>
      <c r="B1635" s="5" t="s">
        <v>1432</v>
      </c>
      <c r="C1635" s="2" t="s">
        <v>1138</v>
      </c>
    </row>
    <row r="1636" spans="1:3" ht="15.5" x14ac:dyDescent="0.35">
      <c r="A1636" s="131">
        <v>37657</v>
      </c>
      <c r="B1636" s="5" t="s">
        <v>1434</v>
      </c>
      <c r="C1636" s="2" t="s">
        <v>1435</v>
      </c>
    </row>
    <row r="1637" spans="1:3" ht="15.5" x14ac:dyDescent="0.35">
      <c r="A1637" s="131">
        <v>38022</v>
      </c>
      <c r="B1637" s="5" t="s">
        <v>1436</v>
      </c>
      <c r="C1637" s="2">
        <v>4000</v>
      </c>
    </row>
    <row r="1638" spans="1:3" ht="15.5" x14ac:dyDescent="0.35">
      <c r="A1638" s="131">
        <v>38388</v>
      </c>
      <c r="B1638" s="5" t="s">
        <v>1437</v>
      </c>
      <c r="C1638" s="2">
        <v>6000</v>
      </c>
    </row>
    <row r="1639" spans="1:3" ht="15.5" x14ac:dyDescent="0.35">
      <c r="A1639" s="15">
        <v>43895</v>
      </c>
      <c r="B1639" s="5" t="s">
        <v>1456</v>
      </c>
    </row>
    <row r="1640" spans="1:3" ht="15.5" x14ac:dyDescent="0.35">
      <c r="A1640" s="131">
        <v>36955</v>
      </c>
      <c r="B1640" s="5" t="s">
        <v>1431</v>
      </c>
    </row>
    <row r="1641" spans="1:3" ht="15.5" x14ac:dyDescent="0.35">
      <c r="A1641" s="131">
        <v>37320</v>
      </c>
      <c r="B1641" s="5" t="s">
        <v>1432</v>
      </c>
      <c r="C1641" s="2" t="s">
        <v>1138</v>
      </c>
    </row>
    <row r="1642" spans="1:3" ht="15.5" x14ac:dyDescent="0.35">
      <c r="A1642" s="131">
        <v>37685</v>
      </c>
      <c r="B1642" s="5" t="s">
        <v>1434</v>
      </c>
      <c r="C1642" s="2" t="s">
        <v>1435</v>
      </c>
    </row>
    <row r="1643" spans="1:3" ht="15.5" x14ac:dyDescent="0.35">
      <c r="A1643" s="131">
        <v>38051</v>
      </c>
      <c r="B1643" s="5" t="s">
        <v>1436</v>
      </c>
      <c r="C1643" s="2">
        <v>4000</v>
      </c>
    </row>
    <row r="1644" spans="1:3" ht="15.5" x14ac:dyDescent="0.35">
      <c r="A1644" s="131">
        <v>38416</v>
      </c>
      <c r="B1644" s="5" t="s">
        <v>1437</v>
      </c>
      <c r="C1644" s="2">
        <v>6000</v>
      </c>
    </row>
    <row r="1645" spans="1:3" ht="15.5" x14ac:dyDescent="0.35">
      <c r="A1645" s="15">
        <v>43926</v>
      </c>
      <c r="B1645" s="5" t="s">
        <v>1440</v>
      </c>
    </row>
    <row r="1646" spans="1:3" ht="15.5" x14ac:dyDescent="0.35">
      <c r="A1646" s="131">
        <v>36986</v>
      </c>
      <c r="B1646" s="5" t="s">
        <v>1441</v>
      </c>
      <c r="C1646" s="2">
        <v>800</v>
      </c>
    </row>
    <row r="1647" spans="1:3" ht="15.5" x14ac:dyDescent="0.35">
      <c r="A1647" s="131">
        <v>37351</v>
      </c>
      <c r="B1647" s="5" t="s">
        <v>1442</v>
      </c>
      <c r="C1647" s="2">
        <v>1600</v>
      </c>
    </row>
    <row r="1648" spans="1:3" ht="15.5" x14ac:dyDescent="0.35">
      <c r="A1648" s="131">
        <v>37716</v>
      </c>
      <c r="B1648" s="5" t="s">
        <v>1443</v>
      </c>
      <c r="C1648" s="2">
        <v>3000</v>
      </c>
    </row>
    <row r="1649" spans="1:3" ht="15.5" x14ac:dyDescent="0.35">
      <c r="A1649" s="131">
        <v>38082</v>
      </c>
      <c r="B1649" s="5" t="s">
        <v>1444</v>
      </c>
      <c r="C1649" s="2">
        <v>4000</v>
      </c>
    </row>
    <row r="1650" spans="1:3" ht="15.5" x14ac:dyDescent="0.35">
      <c r="A1650" s="131">
        <v>38447</v>
      </c>
      <c r="B1650" s="5" t="s">
        <v>1445</v>
      </c>
      <c r="C1650" s="2">
        <v>6000</v>
      </c>
    </row>
    <row r="1651" spans="1:3" ht="15.5" x14ac:dyDescent="0.35">
      <c r="A1651" s="131">
        <v>38812</v>
      </c>
      <c r="B1651" s="5" t="s">
        <v>1446</v>
      </c>
      <c r="C1651" s="2">
        <v>6000</v>
      </c>
    </row>
    <row r="1652" spans="1:3" ht="15.5" x14ac:dyDescent="0.35">
      <c r="A1652" s="9" t="s">
        <v>1447</v>
      </c>
      <c r="B1652" s="5"/>
    </row>
    <row r="1653" spans="1:3" ht="15.5" x14ac:dyDescent="0.35">
      <c r="A1653" s="15">
        <v>43836</v>
      </c>
      <c r="B1653" s="5" t="s">
        <v>1448</v>
      </c>
    </row>
    <row r="1654" spans="1:3" ht="15.5" x14ac:dyDescent="0.35">
      <c r="A1654" s="131">
        <v>36897</v>
      </c>
      <c r="B1654" s="5" t="s">
        <v>1449</v>
      </c>
      <c r="C1654" s="2">
        <v>1200</v>
      </c>
    </row>
    <row r="1655" spans="1:3" ht="15.5" x14ac:dyDescent="0.35">
      <c r="A1655" s="131">
        <v>37262</v>
      </c>
      <c r="B1655" s="5" t="s">
        <v>1450</v>
      </c>
      <c r="C1655" s="2">
        <v>2000</v>
      </c>
    </row>
    <row r="1656" spans="1:3" ht="15.5" x14ac:dyDescent="0.35">
      <c r="A1656" s="9" t="s">
        <v>1457</v>
      </c>
      <c r="B1656" s="5"/>
    </row>
    <row r="1657" spans="1:3" ht="15.5" x14ac:dyDescent="0.35">
      <c r="A1657" s="9" t="s">
        <v>1452</v>
      </c>
      <c r="B1657" s="5"/>
    </row>
    <row r="1658" spans="1:3" ht="15.5" x14ac:dyDescent="0.35">
      <c r="A1658" s="9"/>
      <c r="B1658" s="5"/>
    </row>
    <row r="1659" spans="1:3" ht="15.5" x14ac:dyDescent="0.35">
      <c r="A1659" s="9" t="s">
        <v>1453</v>
      </c>
      <c r="B1659" s="5"/>
    </row>
    <row r="1660" spans="1:3" ht="15.5" x14ac:dyDescent="0.35">
      <c r="A1660" s="9"/>
      <c r="B1660" s="5"/>
    </row>
    <row r="1661" spans="1:3" ht="15.5" x14ac:dyDescent="0.35">
      <c r="A1661" s="9" t="s">
        <v>1454</v>
      </c>
      <c r="B1661" s="5"/>
    </row>
    <row r="1662" spans="1:3" ht="15.5" x14ac:dyDescent="0.35">
      <c r="A1662" s="9"/>
      <c r="B1662" s="5"/>
    </row>
    <row r="1663" spans="1:3" ht="15.5" x14ac:dyDescent="0.35">
      <c r="A1663" s="9"/>
      <c r="B1663" s="5"/>
    </row>
    <row r="1664" spans="1:3" ht="15.5" x14ac:dyDescent="0.35">
      <c r="A1664" s="9"/>
      <c r="B1664" s="5"/>
    </row>
    <row r="1665" spans="1:2" ht="15.5" x14ac:dyDescent="0.35">
      <c r="A1665" s="9"/>
      <c r="B166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Blažek Luboš</dc:creator>
  <cp:lastModifiedBy>Blažek Luboš</cp:lastModifiedBy>
  <dcterms:created xsi:type="dcterms:W3CDTF">2025-12-16T11:26:51Z</dcterms:created>
  <dcterms:modified xsi:type="dcterms:W3CDTF">2025-12-16T11:27:16Z</dcterms:modified>
</cp:coreProperties>
</file>